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план" sheetId="1" r:id="rId1"/>
    <sheet name="Исполнение" sheetId="2" r:id="rId2"/>
    <sheet name="Анализ (2)" sheetId="3" r:id="rId3"/>
    <sheet name="план аппарат" sheetId="4" r:id="rId4"/>
    <sheet name="Исполнение аппарат" sheetId="5" r:id="rId5"/>
  </sheets>
  <definedNames>
    <definedName name="_xlnm.Print_Titles" localSheetId="2">'Анализ (2)'!$A:$A</definedName>
    <definedName name="_xlnm.Print_Titles" localSheetId="1">'Исполнение'!$A:$A</definedName>
    <definedName name="_xlnm.Print_Titles" localSheetId="4">'Исполнение аппарат'!$A:$A</definedName>
    <definedName name="_xlnm.Print_Titles" localSheetId="0">'план'!$A:$A</definedName>
    <definedName name="_xlnm.Print_Titles" localSheetId="3">'план аппарат'!$A:$A</definedName>
    <definedName name="_xlnm.Print_Area" localSheetId="2">'Анализ (2)'!$A$1:$AK$18</definedName>
    <definedName name="_xlnm.Print_Area" localSheetId="1">'Исполнение'!$A$1:$T$23</definedName>
    <definedName name="_xlnm.Print_Area" localSheetId="4">'Исполнение аппарат'!$A$1:$L$23</definedName>
    <definedName name="_xlnm.Print_Area" localSheetId="0">'план'!$A$1:$U$23</definedName>
    <definedName name="_xlnm.Print_Area" localSheetId="3">'план аппарат'!$A$1:$M$23</definedName>
  </definedNames>
  <calcPr fullCalcOnLoad="1"/>
</workbook>
</file>

<file path=xl/sharedStrings.xml><?xml version="1.0" encoding="utf-8"?>
<sst xmlns="http://schemas.openxmlformats.org/spreadsheetml/2006/main" count="154" uniqueCount="36">
  <si>
    <t>аппарат</t>
  </si>
  <si>
    <t>Военкомат</t>
  </si>
  <si>
    <t>Клуб</t>
  </si>
  <si>
    <t>Библиотека</t>
  </si>
  <si>
    <t>Благоустр</t>
  </si>
  <si>
    <t>Глава</t>
  </si>
  <si>
    <t>Ф Ф П</t>
  </si>
  <si>
    <t>ффп</t>
  </si>
  <si>
    <t>субв</t>
  </si>
  <si>
    <t>план</t>
  </si>
  <si>
    <t>факт</t>
  </si>
  <si>
    <t>Аппарат</t>
  </si>
  <si>
    <t>ЖКХ</t>
  </si>
  <si>
    <t>СДК</t>
  </si>
  <si>
    <t>Повышение</t>
  </si>
  <si>
    <t xml:space="preserve"> </t>
  </si>
  <si>
    <t>ВСЕГО</t>
  </si>
  <si>
    <t>ВУС</t>
  </si>
  <si>
    <t>ГО ЧС</t>
  </si>
  <si>
    <t>отклон</t>
  </si>
  <si>
    <t>Исполнение   год  2009</t>
  </si>
  <si>
    <t>Административная</t>
  </si>
  <si>
    <t>Субвенции</t>
  </si>
  <si>
    <t>Спорт    Пенсия</t>
  </si>
  <si>
    <t>Аккорицидная обработка</t>
  </si>
  <si>
    <t>пенсии, спорт</t>
  </si>
  <si>
    <t>аккорицидная</t>
  </si>
  <si>
    <t>Административная, резервный</t>
  </si>
  <si>
    <t>Управление</t>
  </si>
  <si>
    <t>Резерв фонд Административная</t>
  </si>
  <si>
    <t xml:space="preserve">Исполнение                      2012 год  </t>
  </si>
  <si>
    <t>План   год  2012</t>
  </si>
  <si>
    <t>передаваемые полномочия, спорт</t>
  </si>
  <si>
    <t>Передаваемые полномочия</t>
  </si>
  <si>
    <t>передаваемые</t>
  </si>
  <si>
    <t>Анализ   год  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</si>
</sst>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_р_."/>
    <numFmt numFmtId="174" formatCode="#,##0.0_р_."/>
    <numFmt numFmtId="175" formatCode="#,##0.00_р_.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3" fontId="4" fillId="0" borderId="14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4" fillId="4" borderId="18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4" fillId="24" borderId="26" xfId="0" applyNumberFormat="1" applyFont="1" applyFill="1" applyBorder="1" applyAlignment="1">
      <alignment/>
    </xf>
    <xf numFmtId="4" fontId="4" fillId="24" borderId="27" xfId="0" applyNumberFormat="1" applyFont="1" applyFill="1" applyBorder="1" applyAlignment="1">
      <alignment horizontal="center"/>
    </xf>
    <xf numFmtId="4" fontId="4" fillId="24" borderId="18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3" fontId="0" fillId="0" borderId="28" xfId="0" applyNumberFormat="1" applyBorder="1" applyAlignment="1">
      <alignment horizontal="center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0" fillId="4" borderId="16" xfId="0" applyNumberForma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4" fillId="0" borderId="33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4" fontId="0" fillId="4" borderId="17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4" fillId="0" borderId="36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4" fillId="24" borderId="37" xfId="0" applyNumberFormat="1" applyFont="1" applyFill="1" applyBorder="1" applyAlignment="1">
      <alignment horizontal="center"/>
    </xf>
    <xf numFmtId="4" fontId="7" fillId="24" borderId="30" xfId="0" applyNumberFormat="1" applyFont="1" applyFill="1" applyBorder="1" applyAlignment="1">
      <alignment/>
    </xf>
    <xf numFmtId="4" fontId="9" fillId="24" borderId="21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3" fontId="0" fillId="24" borderId="0" xfId="0" applyNumberFormat="1" applyFill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4" borderId="18" xfId="0" applyNumberFormat="1" applyFill="1" applyBorder="1" applyAlignment="1">
      <alignment horizontal="center"/>
    </xf>
    <xf numFmtId="4" fontId="0" fillId="4" borderId="31" xfId="0" applyNumberFormat="1" applyFill="1" applyBorder="1" applyAlignment="1">
      <alignment horizontal="center"/>
    </xf>
    <xf numFmtId="4" fontId="0" fillId="4" borderId="29" xfId="0" applyNumberFormat="1" applyFill="1" applyBorder="1" applyAlignment="1">
      <alignment horizontal="center"/>
    </xf>
    <xf numFmtId="4" fontId="0" fillId="4" borderId="11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12" xfId="0" applyNumberFormat="1" applyFill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4" fontId="4" fillId="0" borderId="26" xfId="0" applyNumberFormat="1" applyFont="1" applyBorder="1" applyAlignment="1">
      <alignment horizontal="center" wrapText="1"/>
    </xf>
    <xf numFmtId="4" fontId="4" fillId="0" borderId="42" xfId="0" applyNumberFormat="1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" fontId="4" fillId="4" borderId="26" xfId="0" applyNumberFormat="1" applyFont="1" applyFill="1" applyBorder="1" applyAlignment="1">
      <alignment horizontal="center" wrapText="1"/>
    </xf>
    <xf numFmtId="4" fontId="4" fillId="4" borderId="42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 horizontal="center" wrapText="1"/>
    </xf>
    <xf numFmtId="4" fontId="4" fillId="0" borderId="36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" fontId="4" fillId="0" borderId="3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42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" sqref="H4"/>
    </sheetView>
  </sheetViews>
  <sheetFormatPr defaultColWidth="9.140625" defaultRowHeight="12.75"/>
  <cols>
    <col min="1" max="1" width="9.28125" style="6" bestFit="1" customWidth="1"/>
    <col min="2" max="2" width="12.8515625" style="6" customWidth="1"/>
    <col min="3" max="3" width="14.57421875" style="6" hidden="1" customWidth="1"/>
    <col min="4" max="4" width="13.00390625" style="78" customWidth="1"/>
    <col min="5" max="5" width="11.28125" style="1" customWidth="1"/>
    <col min="6" max="6" width="11.140625" style="1" customWidth="1"/>
    <col min="7" max="7" width="11.00390625" style="1" hidden="1" customWidth="1"/>
    <col min="8" max="8" width="12.7109375" style="1" customWidth="1"/>
    <col min="9" max="9" width="9.8515625" style="1" customWidth="1"/>
    <col min="10" max="10" width="12.140625" style="1" customWidth="1"/>
    <col min="11" max="11" width="9.8515625" style="1" customWidth="1"/>
    <col min="12" max="12" width="10.421875" style="1" customWidth="1"/>
    <col min="13" max="14" width="11.00390625" style="1" customWidth="1"/>
    <col min="15" max="15" width="13.28125" style="1" customWidth="1"/>
    <col min="16" max="16" width="12.7109375" style="1" customWidth="1"/>
    <col min="17" max="17" width="12.28125" style="1" customWidth="1"/>
    <col min="18" max="18" width="12.140625" style="1" customWidth="1"/>
    <col min="19" max="19" width="11.00390625" style="1" customWidth="1"/>
    <col min="20" max="21" width="14.140625" style="1" customWidth="1"/>
    <col min="22" max="22" width="13.7109375" style="1" customWidth="1"/>
    <col min="23" max="23" width="14.140625" style="1" customWidth="1"/>
    <col min="24" max="24" width="11.57421875" style="1" customWidth="1"/>
    <col min="25" max="25" width="13.8515625" style="1" customWidth="1"/>
    <col min="26" max="16384" width="9.140625" style="1" customWidth="1"/>
  </cols>
  <sheetData>
    <row r="1" spans="1:23" ht="13.5" thickBot="1">
      <c r="A1" s="5"/>
      <c r="B1" s="94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38"/>
      <c r="V1" s="2"/>
      <c r="W1" s="2"/>
    </row>
    <row r="2" spans="1:24" s="9" customFormat="1" ht="63.75">
      <c r="A2" s="30"/>
      <c r="B2" s="49" t="s">
        <v>16</v>
      </c>
      <c r="C2" s="50" t="s">
        <v>6</v>
      </c>
      <c r="D2" s="74" t="s">
        <v>28</v>
      </c>
      <c r="E2" s="91" t="s">
        <v>5</v>
      </c>
      <c r="F2" s="92"/>
      <c r="G2" s="3" t="s">
        <v>5</v>
      </c>
      <c r="H2" s="93" t="s">
        <v>0</v>
      </c>
      <c r="I2" s="92"/>
      <c r="J2" s="7" t="s">
        <v>33</v>
      </c>
      <c r="K2" s="41" t="s">
        <v>29</v>
      </c>
      <c r="L2" s="93" t="s">
        <v>1</v>
      </c>
      <c r="M2" s="92"/>
      <c r="N2" s="19" t="s">
        <v>18</v>
      </c>
      <c r="O2" s="3" t="s">
        <v>4</v>
      </c>
      <c r="P2" s="93" t="s">
        <v>2</v>
      </c>
      <c r="Q2" s="92"/>
      <c r="R2" s="93" t="s">
        <v>3</v>
      </c>
      <c r="S2" s="92"/>
      <c r="T2" s="7" t="s">
        <v>32</v>
      </c>
      <c r="U2" s="7" t="s">
        <v>26</v>
      </c>
      <c r="V2" s="3" t="s">
        <v>16</v>
      </c>
      <c r="W2" s="8" t="s">
        <v>6</v>
      </c>
      <c r="X2" s="9" t="s">
        <v>14</v>
      </c>
    </row>
    <row r="3" spans="1:25" ht="19.5" customHeight="1">
      <c r="A3" s="21">
        <v>211</v>
      </c>
      <c r="B3" s="32">
        <f>V3</f>
        <v>1624823</v>
      </c>
      <c r="C3" s="32">
        <f>W3</f>
        <v>1624823</v>
      </c>
      <c r="D3" s="75">
        <f>E3+F3+H3+I3+K3+L3</f>
        <v>1624823</v>
      </c>
      <c r="E3" s="2">
        <v>344510</v>
      </c>
      <c r="F3" s="2"/>
      <c r="G3" s="2"/>
      <c r="H3" s="2">
        <f>747966+532347</f>
        <v>1280313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>
        <f>E3+F3+H3+I3+J3+K3+L3+M3+N3+O3+P3+Q3+R3+S3+T3+U3</f>
        <v>1624823</v>
      </c>
      <c r="W3" s="2">
        <f>E3+G3+H3+O3+P3+R3+T3+N3+J3+K3+U3</f>
        <v>1624823</v>
      </c>
      <c r="X3" s="1">
        <f>F3+I3+Q3+S3</f>
        <v>0</v>
      </c>
      <c r="Y3" s="1">
        <f>V3-X3-L3</f>
        <v>1624823</v>
      </c>
    </row>
    <row r="4" spans="1:25" ht="22.5" customHeight="1">
      <c r="A4" s="21">
        <v>212</v>
      </c>
      <c r="B4" s="32">
        <f aca="true" t="shared" si="0" ref="B4:B16">V4</f>
        <v>0</v>
      </c>
      <c r="C4" s="32">
        <f aca="true" t="shared" si="1" ref="C4:C12">W4</f>
        <v>0</v>
      </c>
      <c r="D4" s="75">
        <f aca="true" t="shared" si="2" ref="D4:D17">E4+F4+H4+I4+K4+L4</f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>
        <f aca="true" t="shared" si="3" ref="V4:V16">E4+F4+H4+I4+J4+K4+L4+M4+N4+O4+P4+Q4+R4+S4+T4+U4</f>
        <v>0</v>
      </c>
      <c r="W4" s="2">
        <f aca="true" t="shared" si="4" ref="W4:W16">E4+G4+H4+O4+P4+R4+T4+N4+J4+K4+U4</f>
        <v>0</v>
      </c>
      <c r="X4" s="1">
        <f aca="true" t="shared" si="5" ref="X4:X16">F4+I4+Q4+S4</f>
        <v>0</v>
      </c>
      <c r="Y4" s="1">
        <f aca="true" t="shared" si="6" ref="Y4:Y16">V4-X4-L4</f>
        <v>0</v>
      </c>
    </row>
    <row r="5" spans="1:25" ht="17.25" customHeight="1">
      <c r="A5" s="21">
        <v>213</v>
      </c>
      <c r="B5" s="32">
        <f t="shared" si="0"/>
        <v>104050</v>
      </c>
      <c r="C5" s="32">
        <f t="shared" si="1"/>
        <v>104050</v>
      </c>
      <c r="D5" s="75">
        <f t="shared" si="2"/>
        <v>104050</v>
      </c>
      <c r="E5" s="2">
        <v>104050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>
        <f t="shared" si="3"/>
        <v>104050</v>
      </c>
      <c r="W5" s="2">
        <f t="shared" si="4"/>
        <v>104050</v>
      </c>
      <c r="X5" s="1">
        <f t="shared" si="5"/>
        <v>0</v>
      </c>
      <c r="Y5" s="1">
        <f t="shared" si="6"/>
        <v>104050</v>
      </c>
    </row>
    <row r="6" spans="1:25" ht="18.75" customHeight="1">
      <c r="A6" s="21">
        <v>221</v>
      </c>
      <c r="B6" s="32">
        <f t="shared" si="0"/>
        <v>0</v>
      </c>
      <c r="C6" s="32">
        <f t="shared" si="1"/>
        <v>0</v>
      </c>
      <c r="D6" s="75">
        <f t="shared" si="2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>
        <f t="shared" si="3"/>
        <v>0</v>
      </c>
      <c r="W6" s="2">
        <f t="shared" si="4"/>
        <v>0</v>
      </c>
      <c r="X6" s="1">
        <f t="shared" si="5"/>
        <v>0</v>
      </c>
      <c r="Y6" s="1">
        <f t="shared" si="6"/>
        <v>0</v>
      </c>
    </row>
    <row r="7" spans="1:25" ht="18.75" customHeight="1">
      <c r="A7" s="21">
        <v>222</v>
      </c>
      <c r="B7" s="32">
        <f t="shared" si="0"/>
        <v>0</v>
      </c>
      <c r="C7" s="32">
        <f t="shared" si="1"/>
        <v>0</v>
      </c>
      <c r="D7" s="75">
        <f t="shared" si="2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79"/>
      <c r="P7" s="2"/>
      <c r="Q7" s="2"/>
      <c r="R7" s="2"/>
      <c r="S7" s="2"/>
      <c r="T7" s="2"/>
      <c r="U7" s="2"/>
      <c r="V7" s="3">
        <f t="shared" si="3"/>
        <v>0</v>
      </c>
      <c r="W7" s="2">
        <f t="shared" si="4"/>
        <v>0</v>
      </c>
      <c r="X7" s="1">
        <f t="shared" si="5"/>
        <v>0</v>
      </c>
      <c r="Y7" s="1">
        <f t="shared" si="6"/>
        <v>0</v>
      </c>
    </row>
    <row r="8" spans="1:25" ht="15.75" customHeight="1">
      <c r="A8" s="21">
        <v>223</v>
      </c>
      <c r="B8" s="32">
        <f t="shared" si="0"/>
        <v>0</v>
      </c>
      <c r="C8" s="32">
        <f t="shared" si="1"/>
        <v>0</v>
      </c>
      <c r="D8" s="75">
        <f t="shared" si="2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79"/>
      <c r="P8" s="2"/>
      <c r="Q8" s="2"/>
      <c r="R8" s="2"/>
      <c r="S8" s="2"/>
      <c r="T8" s="2"/>
      <c r="U8" s="2"/>
      <c r="V8" s="3">
        <f t="shared" si="3"/>
        <v>0</v>
      </c>
      <c r="W8" s="2">
        <f t="shared" si="4"/>
        <v>0</v>
      </c>
      <c r="X8" s="1">
        <f t="shared" si="5"/>
        <v>0</v>
      </c>
      <c r="Y8" s="1">
        <f t="shared" si="6"/>
        <v>0</v>
      </c>
    </row>
    <row r="9" spans="1:25" ht="15.75" customHeight="1">
      <c r="A9" s="21">
        <v>225</v>
      </c>
      <c r="B9" s="32">
        <f t="shared" si="0"/>
        <v>0</v>
      </c>
      <c r="C9" s="32">
        <f t="shared" si="1"/>
        <v>0</v>
      </c>
      <c r="D9" s="75">
        <f t="shared" si="2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79"/>
      <c r="P9" s="2"/>
      <c r="Q9" s="2"/>
      <c r="R9" s="2"/>
      <c r="S9" s="2"/>
      <c r="T9" s="2"/>
      <c r="U9" s="2"/>
      <c r="V9" s="3">
        <f t="shared" si="3"/>
        <v>0</v>
      </c>
      <c r="W9" s="2">
        <f t="shared" si="4"/>
        <v>0</v>
      </c>
      <c r="X9" s="1">
        <f t="shared" si="5"/>
        <v>0</v>
      </c>
      <c r="Y9" s="1">
        <f>V9-X9-L9-16997</f>
        <v>-16997</v>
      </c>
    </row>
    <row r="10" spans="1:25" ht="18" customHeight="1">
      <c r="A10" s="21">
        <v>226</v>
      </c>
      <c r="B10" s="32">
        <f t="shared" si="0"/>
        <v>0</v>
      </c>
      <c r="C10" s="32">
        <f t="shared" si="1"/>
        <v>0</v>
      </c>
      <c r="D10" s="75">
        <f t="shared" si="2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79"/>
      <c r="P10" s="2"/>
      <c r="Q10" s="2"/>
      <c r="R10" s="2"/>
      <c r="S10" s="2"/>
      <c r="T10" s="2"/>
      <c r="U10" s="2"/>
      <c r="V10" s="3">
        <f t="shared" si="3"/>
        <v>0</v>
      </c>
      <c r="W10" s="2">
        <f t="shared" si="4"/>
        <v>0</v>
      </c>
      <c r="X10" s="1">
        <f t="shared" si="5"/>
        <v>0</v>
      </c>
      <c r="Y10" s="1">
        <f t="shared" si="6"/>
        <v>0</v>
      </c>
    </row>
    <row r="11" spans="1:24" ht="15.75" customHeight="1">
      <c r="A11" s="21">
        <v>241</v>
      </c>
      <c r="B11" s="32">
        <f>V11</f>
        <v>0</v>
      </c>
      <c r="C11" s="32">
        <f>W11</f>
        <v>0</v>
      </c>
      <c r="D11" s="75">
        <f t="shared" si="2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9"/>
      <c r="P11" s="2"/>
      <c r="Q11" s="2"/>
      <c r="R11" s="2"/>
      <c r="S11" s="2"/>
      <c r="T11" s="2"/>
      <c r="U11" s="2"/>
      <c r="V11" s="3">
        <f>E11+F11+H11+I11+J11+K11+L11+M11+N11+O11+P11+Q11+R11+S11+T11+U11</f>
        <v>0</v>
      </c>
      <c r="W11" s="2">
        <f>E11+G11+H11+O11+P11+R11+T11+N11+J11+K11+U11</f>
        <v>0</v>
      </c>
      <c r="X11" s="1">
        <f>F11+I11+Q11+S11</f>
        <v>0</v>
      </c>
    </row>
    <row r="12" spans="1:24" ht="15.75" customHeight="1">
      <c r="A12" s="21">
        <v>251</v>
      </c>
      <c r="B12" s="32">
        <f t="shared" si="0"/>
        <v>0</v>
      </c>
      <c r="C12" s="32">
        <f t="shared" si="1"/>
        <v>0</v>
      </c>
      <c r="D12" s="75">
        <f t="shared" si="2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>
        <f t="shared" si="3"/>
        <v>0</v>
      </c>
      <c r="W12" s="2">
        <f t="shared" si="4"/>
        <v>0</v>
      </c>
      <c r="X12" s="1">
        <f t="shared" si="5"/>
        <v>0</v>
      </c>
    </row>
    <row r="13" spans="1:23" ht="15.75" customHeight="1">
      <c r="A13" s="21">
        <v>263</v>
      </c>
      <c r="B13" s="32">
        <f t="shared" si="0"/>
        <v>0</v>
      </c>
      <c r="C13" s="32">
        <f>W13</f>
        <v>0</v>
      </c>
      <c r="D13" s="75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f t="shared" si="3"/>
        <v>0</v>
      </c>
      <c r="W13" s="2">
        <f t="shared" si="4"/>
        <v>0</v>
      </c>
    </row>
    <row r="14" spans="1:25" ht="21.75" customHeight="1">
      <c r="A14" s="21">
        <v>290</v>
      </c>
      <c r="B14" s="32">
        <f t="shared" si="0"/>
        <v>0</v>
      </c>
      <c r="C14" s="32">
        <f>W14</f>
        <v>0</v>
      </c>
      <c r="D14" s="75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>
        <f t="shared" si="3"/>
        <v>0</v>
      </c>
      <c r="W14" s="2">
        <f t="shared" si="4"/>
        <v>0</v>
      </c>
      <c r="X14" s="1">
        <f t="shared" si="5"/>
        <v>0</v>
      </c>
      <c r="Y14" s="1">
        <f t="shared" si="6"/>
        <v>0</v>
      </c>
    </row>
    <row r="15" spans="1:25" ht="18.75" customHeight="1">
      <c r="A15" s="21">
        <v>310</v>
      </c>
      <c r="B15" s="32">
        <f t="shared" si="0"/>
        <v>0</v>
      </c>
      <c r="C15" s="32">
        <f>W15</f>
        <v>0</v>
      </c>
      <c r="D15" s="75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>
        <f t="shared" si="3"/>
        <v>0</v>
      </c>
      <c r="W15" s="2">
        <f t="shared" si="4"/>
        <v>0</v>
      </c>
      <c r="X15" s="1">
        <f t="shared" si="5"/>
        <v>0</v>
      </c>
      <c r="Y15" s="1">
        <f>V15-X15-L15-118000</f>
        <v>-118000</v>
      </c>
    </row>
    <row r="16" spans="1:25" ht="21" customHeight="1">
      <c r="A16" s="21">
        <v>340</v>
      </c>
      <c r="B16" s="32">
        <f t="shared" si="0"/>
        <v>0</v>
      </c>
      <c r="C16" s="32">
        <f>W16</f>
        <v>0</v>
      </c>
      <c r="D16" s="75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>
        <f t="shared" si="3"/>
        <v>0</v>
      </c>
      <c r="W16" s="2">
        <f t="shared" si="4"/>
        <v>0</v>
      </c>
      <c r="X16" s="1">
        <f t="shared" si="5"/>
        <v>0</v>
      </c>
      <c r="Y16" s="1">
        <f t="shared" si="6"/>
        <v>0</v>
      </c>
    </row>
    <row r="17" spans="1:25" ht="15" customHeight="1">
      <c r="A17" s="21"/>
      <c r="B17" s="32">
        <f>B3+B4+B5+B6+B7+B8+B9+B10+B11+B12+B13+B14+B15+B16</f>
        <v>1728873</v>
      </c>
      <c r="C17" s="32">
        <f>C3+C4+C5+C6+C7+C8+C9+C10+C11+C12+C13+C14+C15+C16</f>
        <v>1728873</v>
      </c>
      <c r="D17" s="75">
        <f t="shared" si="2"/>
        <v>1728873</v>
      </c>
      <c r="E17" s="4">
        <f aca="true" t="shared" si="7" ref="E17:Y17">SUM(E3:E16)</f>
        <v>448560</v>
      </c>
      <c r="F17" s="4">
        <f t="shared" si="7"/>
        <v>0</v>
      </c>
      <c r="G17" s="4">
        <f t="shared" si="7"/>
        <v>0</v>
      </c>
      <c r="H17" s="4">
        <f t="shared" si="7"/>
        <v>1280313</v>
      </c>
      <c r="I17" s="4">
        <f t="shared" si="7"/>
        <v>0</v>
      </c>
      <c r="J17" s="4">
        <f t="shared" si="7"/>
        <v>0</v>
      </c>
      <c r="K17" s="4">
        <f t="shared" si="7"/>
        <v>0</v>
      </c>
      <c r="L17" s="4">
        <f t="shared" si="7"/>
        <v>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>
        <f t="shared" si="7"/>
        <v>0</v>
      </c>
      <c r="S17" s="4">
        <f t="shared" si="7"/>
        <v>0</v>
      </c>
      <c r="T17" s="4">
        <f t="shared" si="7"/>
        <v>0</v>
      </c>
      <c r="U17" s="4">
        <f t="shared" si="7"/>
        <v>0</v>
      </c>
      <c r="V17" s="4">
        <f t="shared" si="7"/>
        <v>1728873</v>
      </c>
      <c r="W17" s="4">
        <f t="shared" si="7"/>
        <v>1728873</v>
      </c>
      <c r="X17" s="4">
        <f t="shared" si="7"/>
        <v>0</v>
      </c>
      <c r="Y17" s="4">
        <f t="shared" si="7"/>
        <v>1593876</v>
      </c>
    </row>
    <row r="18" spans="1:22" s="12" customFormat="1" ht="13.5" customHeight="1">
      <c r="A18" s="33"/>
      <c r="B18" s="34">
        <f>SUM(B3:B16)</f>
        <v>1728873</v>
      </c>
      <c r="C18" s="34">
        <f>SUM(C3:C16)</f>
        <v>1728873</v>
      </c>
      <c r="D18" s="76"/>
      <c r="E18" s="90">
        <f>E17+F17</f>
        <v>448560</v>
      </c>
      <c r="F18" s="90"/>
      <c r="G18" s="12">
        <f>G19*26.2%</f>
        <v>0</v>
      </c>
      <c r="H18" s="90">
        <f>H17+I17</f>
        <v>1280313</v>
      </c>
      <c r="I18" s="90"/>
      <c r="J18" s="40"/>
      <c r="K18" s="40"/>
      <c r="L18" s="90">
        <f>L17+M17</f>
        <v>0</v>
      </c>
      <c r="M18" s="90"/>
      <c r="N18" s="35"/>
      <c r="P18" s="90">
        <f>P17+Q17</f>
        <v>0</v>
      </c>
      <c r="Q18" s="90"/>
      <c r="R18" s="90">
        <f>R17+S17</f>
        <v>0</v>
      </c>
      <c r="S18" s="90"/>
      <c r="T18" s="36" t="s">
        <v>7</v>
      </c>
      <c r="U18" s="36"/>
      <c r="V18" s="12">
        <f>E17+G17+H17+O17+P17+R17+T17</f>
        <v>1728873</v>
      </c>
    </row>
    <row r="19" spans="2:22" ht="12.75">
      <c r="B19" s="11">
        <v>5316250.37</v>
      </c>
      <c r="C19" s="1"/>
      <c r="D19" s="77"/>
      <c r="H19" s="1">
        <f>E18+H18</f>
        <v>1728873</v>
      </c>
      <c r="O19" s="1">
        <f>318685.5+382910</f>
        <v>701595.5</v>
      </c>
      <c r="R19" s="1">
        <f>P18+R18</f>
        <v>0</v>
      </c>
      <c r="T19" s="10" t="s">
        <v>8</v>
      </c>
      <c r="U19" s="10"/>
      <c r="V19" s="11">
        <f>V17-V18</f>
        <v>0</v>
      </c>
    </row>
    <row r="20" spans="2:20" ht="14.25" customHeight="1">
      <c r="B20" s="6">
        <f>B17-B19</f>
        <v>-3587377.37</v>
      </c>
      <c r="T20" s="1">
        <f>E18+G17+H18+L18+P18+O17+R18+T17</f>
        <v>1728873</v>
      </c>
    </row>
    <row r="21" ht="15" customHeight="1"/>
    <row r="22" ht="15" customHeight="1"/>
    <row r="23" ht="14.25" customHeight="1"/>
    <row r="24" ht="15.75" customHeight="1"/>
    <row r="27" ht="11.25" customHeight="1"/>
    <row r="28" ht="12" customHeight="1"/>
    <row r="29" ht="12" customHeight="1"/>
    <row r="30" ht="21.75" customHeight="1"/>
    <row r="31" ht="12" customHeight="1"/>
    <row r="32" ht="9.75" customHeight="1"/>
    <row r="33" ht="10.5" customHeight="1"/>
    <row r="35" ht="10.5" customHeight="1"/>
    <row r="36" ht="9.75" customHeight="1"/>
    <row r="39" ht="10.5" customHeight="1"/>
    <row r="40" ht="11.25" customHeight="1"/>
    <row r="41" ht="12" customHeight="1"/>
    <row r="42" ht="24" customHeight="1"/>
    <row r="46" ht="9.75" customHeight="1"/>
    <row r="47" ht="9.75" customHeight="1"/>
    <row r="48" ht="10.5" customHeight="1"/>
    <row r="49" ht="11.25" customHeight="1"/>
    <row r="51" ht="24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11">
    <mergeCell ref="B1:T1"/>
    <mergeCell ref="R2:S2"/>
    <mergeCell ref="R18:S18"/>
    <mergeCell ref="E2:F2"/>
    <mergeCell ref="H2:I2"/>
    <mergeCell ref="E18:F18"/>
    <mergeCell ref="H18:I18"/>
    <mergeCell ref="L18:M18"/>
    <mergeCell ref="P18:Q18"/>
    <mergeCell ref="L2:M2"/>
    <mergeCell ref="P2:Q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58" r:id="rId1"/>
  <colBreaks count="1" manualBreakCount="1">
    <brk id="22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9.28125" style="6" bestFit="1" customWidth="1"/>
    <col min="2" max="3" width="13.00390625" style="6" customWidth="1"/>
    <col min="4" max="4" width="12.00390625" style="1" customWidth="1"/>
    <col min="5" max="5" width="11.28125" style="1" customWidth="1"/>
    <col min="6" max="6" width="1.1484375" style="1" hidden="1" customWidth="1"/>
    <col min="7" max="7" width="13.140625" style="1" customWidth="1"/>
    <col min="8" max="8" width="10.00390625" style="1" customWidth="1"/>
    <col min="9" max="9" width="11.140625" style="1" customWidth="1"/>
    <col min="10" max="10" width="12.00390625" style="1" customWidth="1"/>
    <col min="11" max="11" width="11.57421875" style="1" customWidth="1"/>
    <col min="12" max="12" width="5.57421875" style="1" customWidth="1"/>
    <col min="13" max="13" width="10.7109375" style="1" customWidth="1"/>
    <col min="14" max="14" width="13.57421875" style="1" customWidth="1"/>
    <col min="15" max="15" width="14.00390625" style="1" customWidth="1"/>
    <col min="16" max="16" width="11.140625" style="1" customWidth="1"/>
    <col min="17" max="17" width="12.00390625" style="1" customWidth="1"/>
    <col min="18" max="18" width="9.421875" style="1" customWidth="1"/>
    <col min="19" max="19" width="10.28125" style="1" customWidth="1"/>
    <col min="20" max="20" width="10.00390625" style="1" customWidth="1"/>
    <col min="21" max="21" width="13.7109375" style="1" customWidth="1"/>
    <col min="22" max="22" width="14.140625" style="1" customWidth="1"/>
    <col min="23" max="23" width="11.57421875" style="1" customWidth="1"/>
    <col min="24" max="16384" width="9.140625" style="1" customWidth="1"/>
  </cols>
  <sheetData>
    <row r="1" spans="1:22" ht="13.5" thickBot="1">
      <c r="A1" s="5"/>
      <c r="B1" s="94" t="s">
        <v>30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38"/>
      <c r="U1" s="2"/>
      <c r="V1" s="2"/>
    </row>
    <row r="2" spans="1:23" s="9" customFormat="1" ht="25.5">
      <c r="A2" s="30"/>
      <c r="B2" s="49" t="s">
        <v>16</v>
      </c>
      <c r="C2" s="50" t="s">
        <v>6</v>
      </c>
      <c r="D2" s="91" t="s">
        <v>5</v>
      </c>
      <c r="E2" s="92"/>
      <c r="F2" s="3" t="s">
        <v>5</v>
      </c>
      <c r="G2" s="93" t="s">
        <v>0</v>
      </c>
      <c r="H2" s="92"/>
      <c r="I2" s="7" t="s">
        <v>34</v>
      </c>
      <c r="J2" s="41" t="s">
        <v>21</v>
      </c>
      <c r="K2" s="93" t="s">
        <v>1</v>
      </c>
      <c r="L2" s="92"/>
      <c r="M2" s="19" t="s">
        <v>18</v>
      </c>
      <c r="N2" s="3" t="s">
        <v>4</v>
      </c>
      <c r="O2" s="93" t="s">
        <v>2</v>
      </c>
      <c r="P2" s="92"/>
      <c r="Q2" s="93" t="s">
        <v>3</v>
      </c>
      <c r="R2" s="92"/>
      <c r="S2" s="7" t="s">
        <v>25</v>
      </c>
      <c r="T2" s="7" t="s">
        <v>26</v>
      </c>
      <c r="U2" s="3" t="s">
        <v>16</v>
      </c>
      <c r="V2" s="8" t="s">
        <v>6</v>
      </c>
      <c r="W2" s="9" t="s">
        <v>14</v>
      </c>
    </row>
    <row r="3" spans="1:23" ht="19.5" customHeight="1">
      <c r="A3" s="21">
        <v>211</v>
      </c>
      <c r="B3" s="51">
        <f>U3</f>
        <v>1352213.28</v>
      </c>
      <c r="C3" s="51">
        <f>V3</f>
        <v>1201737.28</v>
      </c>
      <c r="D3" s="29">
        <v>176650</v>
      </c>
      <c r="E3" s="2">
        <f>14100+94550</f>
        <v>108650</v>
      </c>
      <c r="F3" s="2"/>
      <c r="G3" s="2">
        <f>653387.97+329699.31</f>
        <v>983087.28</v>
      </c>
      <c r="H3" s="2"/>
      <c r="I3" s="2"/>
      <c r="J3" s="2"/>
      <c r="K3" s="2">
        <v>41826</v>
      </c>
      <c r="L3" s="2"/>
      <c r="M3" s="2"/>
      <c r="N3" s="2">
        <v>42000</v>
      </c>
      <c r="O3" s="2"/>
      <c r="P3" s="2"/>
      <c r="Q3" s="2"/>
      <c r="R3" s="2"/>
      <c r="S3" s="2"/>
      <c r="T3" s="2"/>
      <c r="U3" s="3">
        <f>D3+E3+F3+G3+H3+K3+L3+N3+O3+P3+Q3+R3+S3+M3+I3+J3+T3</f>
        <v>1352213.28</v>
      </c>
      <c r="V3" s="2">
        <f>D3+F3+G3+N3+O3+Q3+S3+M3+I3+J3+T3</f>
        <v>1201737.28</v>
      </c>
      <c r="W3" s="1">
        <f>E3+H3+P3+R3</f>
        <v>108650</v>
      </c>
    </row>
    <row r="4" spans="1:23" ht="22.5" customHeight="1">
      <c r="A4" s="21">
        <v>212</v>
      </c>
      <c r="B4" s="51">
        <f aca="true" t="shared" si="0" ref="B4:B16">U4</f>
        <v>1500</v>
      </c>
      <c r="C4" s="51">
        <f aca="true" t="shared" si="1" ref="C4:C16">V4</f>
        <v>1500</v>
      </c>
      <c r="D4" s="29"/>
      <c r="E4" s="2"/>
      <c r="F4" s="2"/>
      <c r="G4" s="2">
        <v>1500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>
        <f aca="true" t="shared" si="2" ref="U4:U16">D4+E4+F4+G4+H4+K4+L4+N4+O4+P4+Q4+R4+S4+M4+I4+J4+T4</f>
        <v>1500</v>
      </c>
      <c r="V4" s="2">
        <f aca="true" t="shared" si="3" ref="V4:V16">D4+F4+G4+N4+O4+Q4+S4+M4+I4+J4+T4</f>
        <v>1500</v>
      </c>
      <c r="W4" s="1">
        <f aca="true" t="shared" si="4" ref="W4:W16">E4+H4+P4+R4</f>
        <v>0</v>
      </c>
    </row>
    <row r="5" spans="1:23" ht="17.25" customHeight="1">
      <c r="A5" s="21">
        <v>213</v>
      </c>
      <c r="B5" s="51">
        <f t="shared" si="0"/>
        <v>398987.77</v>
      </c>
      <c r="C5" s="51">
        <f t="shared" si="1"/>
        <v>356917.77</v>
      </c>
      <c r="D5" s="29">
        <v>53350</v>
      </c>
      <c r="E5" s="2">
        <f>4300+28550</f>
        <v>32850</v>
      </c>
      <c r="F5" s="2"/>
      <c r="G5" s="2">
        <f>197325+93558.77</f>
        <v>290883.77</v>
      </c>
      <c r="H5" s="2"/>
      <c r="I5" s="2"/>
      <c r="J5" s="2"/>
      <c r="K5" s="2">
        <v>9220</v>
      </c>
      <c r="L5" s="2"/>
      <c r="M5" s="2"/>
      <c r="N5" s="2">
        <v>12684</v>
      </c>
      <c r="O5" s="2"/>
      <c r="P5" s="2"/>
      <c r="Q5" s="2"/>
      <c r="R5" s="2"/>
      <c r="S5" s="2"/>
      <c r="T5" s="2"/>
      <c r="U5" s="3">
        <f t="shared" si="2"/>
        <v>398987.77</v>
      </c>
      <c r="V5" s="2">
        <f t="shared" si="3"/>
        <v>356917.77</v>
      </c>
      <c r="W5" s="1">
        <f t="shared" si="4"/>
        <v>32850</v>
      </c>
    </row>
    <row r="6" spans="1:23" ht="18.75" customHeight="1">
      <c r="A6" s="21">
        <v>221</v>
      </c>
      <c r="B6" s="51">
        <f t="shared" si="0"/>
        <v>55921.24</v>
      </c>
      <c r="C6" s="51">
        <f t="shared" si="1"/>
        <v>55921.24</v>
      </c>
      <c r="D6" s="29"/>
      <c r="E6" s="2"/>
      <c r="F6" s="2"/>
      <c r="G6" s="2">
        <v>55921.24</v>
      </c>
      <c r="H6" s="2"/>
      <c r="I6" s="2"/>
      <c r="J6" s="2"/>
      <c r="K6" s="2"/>
      <c r="L6" s="2"/>
      <c r="M6" s="2"/>
      <c r="N6" s="79"/>
      <c r="O6" s="2"/>
      <c r="P6" s="2"/>
      <c r="Q6" s="2"/>
      <c r="R6" s="2"/>
      <c r="S6" s="2"/>
      <c r="T6" s="2"/>
      <c r="U6" s="3">
        <f>O6+K6+G6</f>
        <v>55921.24</v>
      </c>
      <c r="V6" s="2">
        <f>O6+G6+K6</f>
        <v>55921.24</v>
      </c>
      <c r="W6" s="1">
        <f t="shared" si="4"/>
        <v>0</v>
      </c>
    </row>
    <row r="7" spans="1:23" ht="18.75" customHeight="1">
      <c r="A7" s="21">
        <v>222</v>
      </c>
      <c r="B7" s="51">
        <f t="shared" si="0"/>
        <v>15561.1</v>
      </c>
      <c r="C7" s="51">
        <f t="shared" si="1"/>
        <v>15561.1</v>
      </c>
      <c r="D7" s="29"/>
      <c r="E7" s="2"/>
      <c r="F7" s="2"/>
      <c r="G7" s="2">
        <v>11961.1</v>
      </c>
      <c r="H7" s="2"/>
      <c r="I7" s="2"/>
      <c r="J7" s="2"/>
      <c r="K7" s="2"/>
      <c r="L7" s="2"/>
      <c r="M7" s="2"/>
      <c r="N7" s="79">
        <v>3600</v>
      </c>
      <c r="O7" s="2"/>
      <c r="P7" s="2"/>
      <c r="Q7" s="2"/>
      <c r="R7" s="2"/>
      <c r="S7" s="2"/>
      <c r="T7" s="2"/>
      <c r="U7" s="3">
        <f t="shared" si="2"/>
        <v>15561.1</v>
      </c>
      <c r="V7" s="2">
        <f t="shared" si="3"/>
        <v>15561.1</v>
      </c>
      <c r="W7" s="1">
        <f t="shared" si="4"/>
        <v>0</v>
      </c>
    </row>
    <row r="8" spans="1:23" ht="15.75" customHeight="1">
      <c r="A8" s="21">
        <v>223</v>
      </c>
      <c r="B8" s="51">
        <f t="shared" si="0"/>
        <v>222261.29</v>
      </c>
      <c r="C8" s="51">
        <f t="shared" si="1"/>
        <v>222261.29</v>
      </c>
      <c r="D8" s="29"/>
      <c r="E8" s="2"/>
      <c r="F8" s="2"/>
      <c r="G8" s="2">
        <v>7480</v>
      </c>
      <c r="H8" s="2"/>
      <c r="I8" s="2"/>
      <c r="J8" s="2"/>
      <c r="K8" s="2"/>
      <c r="L8" s="2"/>
      <c r="M8" s="2"/>
      <c r="N8" s="79">
        <f>38315.5+176465.79</f>
        <v>214781.29</v>
      </c>
      <c r="O8" s="2"/>
      <c r="P8" s="2"/>
      <c r="Q8" s="2"/>
      <c r="R8" s="2"/>
      <c r="S8" s="2"/>
      <c r="T8" s="2"/>
      <c r="U8" s="3">
        <f t="shared" si="2"/>
        <v>222261.29</v>
      </c>
      <c r="V8" s="2">
        <f t="shared" si="3"/>
        <v>222261.29</v>
      </c>
      <c r="W8" s="1">
        <f t="shared" si="4"/>
        <v>0</v>
      </c>
    </row>
    <row r="9" spans="1:23" ht="15.75" customHeight="1">
      <c r="A9" s="21">
        <v>225</v>
      </c>
      <c r="B9" s="51">
        <f t="shared" si="0"/>
        <v>537342</v>
      </c>
      <c r="C9" s="51">
        <f t="shared" si="1"/>
        <v>537342</v>
      </c>
      <c r="D9" s="29"/>
      <c r="E9" s="2"/>
      <c r="F9" s="2"/>
      <c r="G9" s="2">
        <v>13000</v>
      </c>
      <c r="H9" s="2"/>
      <c r="I9" s="2"/>
      <c r="J9" s="2"/>
      <c r="K9" s="2"/>
      <c r="L9" s="2"/>
      <c r="M9" s="2">
        <f>34949+13510</f>
        <v>48459</v>
      </c>
      <c r="N9" s="79">
        <f>38940+39+21+47614+89999+154210+25000+49460+69000+1600</f>
        <v>475883</v>
      </c>
      <c r="O9" s="2"/>
      <c r="P9" s="2"/>
      <c r="Q9" s="2"/>
      <c r="R9" s="2"/>
      <c r="S9" s="2"/>
      <c r="T9" s="2"/>
      <c r="U9" s="3">
        <f t="shared" si="2"/>
        <v>537342</v>
      </c>
      <c r="V9" s="2">
        <f t="shared" si="3"/>
        <v>537342</v>
      </c>
      <c r="W9" s="1">
        <f t="shared" si="4"/>
        <v>0</v>
      </c>
    </row>
    <row r="10" spans="1:23" ht="18" customHeight="1">
      <c r="A10" s="21">
        <v>226</v>
      </c>
      <c r="B10" s="51">
        <f t="shared" si="0"/>
        <v>154758.38</v>
      </c>
      <c r="C10" s="51">
        <f t="shared" si="1"/>
        <v>154758.38</v>
      </c>
      <c r="D10" s="29"/>
      <c r="E10" s="2"/>
      <c r="F10" s="2"/>
      <c r="G10" s="2">
        <v>91517.38</v>
      </c>
      <c r="H10" s="2"/>
      <c r="I10" s="2">
        <v>23000</v>
      </c>
      <c r="J10" s="2"/>
      <c r="K10" s="2"/>
      <c r="L10" s="2"/>
      <c r="M10" s="2">
        <v>12241</v>
      </c>
      <c r="N10" s="79"/>
      <c r="O10" s="2"/>
      <c r="P10" s="2"/>
      <c r="Q10" s="2"/>
      <c r="R10" s="2"/>
      <c r="S10" s="2"/>
      <c r="T10" s="2">
        <f>25000+3000</f>
        <v>28000</v>
      </c>
      <c r="U10" s="3">
        <f t="shared" si="2"/>
        <v>154758.38</v>
      </c>
      <c r="V10" s="2">
        <f t="shared" si="3"/>
        <v>154758.38</v>
      </c>
      <c r="W10" s="1">
        <f t="shared" si="4"/>
        <v>0</v>
      </c>
    </row>
    <row r="11" spans="1:22" ht="18" customHeight="1">
      <c r="A11" s="21">
        <v>241</v>
      </c>
      <c r="B11" s="51">
        <f>U11</f>
        <v>1665290.44</v>
      </c>
      <c r="C11" s="51">
        <f>V11</f>
        <v>1454220.44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79"/>
      <c r="O11" s="2">
        <v>1177251.74</v>
      </c>
      <c r="P11" s="2">
        <f>81900+17900+29700</f>
        <v>129500</v>
      </c>
      <c r="Q11" s="2">
        <f>285350-8381.3</f>
        <v>276968.7</v>
      </c>
      <c r="R11" s="2">
        <f>21100+3900+56570</f>
        <v>81570</v>
      </c>
      <c r="S11" s="2"/>
      <c r="T11" s="2"/>
      <c r="U11" s="3">
        <f>D11+E11+F11+G11+H11+K11+L11+N11+O11+P11+Q11+R11+S11+M11+I11+J11+T11</f>
        <v>1665290.44</v>
      </c>
      <c r="V11" s="2">
        <f>D11+F11+G11+N11+O11+Q11+S11+M11+I11+J11+T11</f>
        <v>1454220.44</v>
      </c>
    </row>
    <row r="12" spans="1:23" ht="18" customHeight="1">
      <c r="A12" s="21">
        <v>251</v>
      </c>
      <c r="B12" s="51">
        <f t="shared" si="0"/>
        <v>21220</v>
      </c>
      <c r="C12" s="51">
        <f t="shared" si="1"/>
        <v>21220</v>
      </c>
      <c r="D12" s="29"/>
      <c r="E12" s="2"/>
      <c r="F12" s="2"/>
      <c r="G12" s="2"/>
      <c r="H12" s="2"/>
      <c r="I12" s="2">
        <v>21220</v>
      </c>
      <c r="J12" s="2"/>
      <c r="K12" s="2"/>
      <c r="L12" s="2"/>
      <c r="M12" s="2"/>
      <c r="N12" s="79"/>
      <c r="O12" s="2"/>
      <c r="P12" s="2"/>
      <c r="Q12" s="2"/>
      <c r="R12" s="2"/>
      <c r="S12" s="2"/>
      <c r="T12" s="2"/>
      <c r="U12" s="3">
        <f t="shared" si="2"/>
        <v>21220</v>
      </c>
      <c r="V12" s="2">
        <f t="shared" si="3"/>
        <v>21220</v>
      </c>
      <c r="W12" s="1">
        <f t="shared" si="4"/>
        <v>0</v>
      </c>
    </row>
    <row r="13" spans="1:23" ht="15.75" customHeight="1">
      <c r="A13" s="21">
        <v>263</v>
      </c>
      <c r="B13" s="51">
        <f t="shared" si="0"/>
        <v>0</v>
      </c>
      <c r="C13" s="51">
        <f t="shared" si="1"/>
        <v>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79"/>
      <c r="O13" s="2"/>
      <c r="P13" s="2"/>
      <c r="Q13" s="2"/>
      <c r="R13" s="2"/>
      <c r="S13" s="2"/>
      <c r="T13" s="2"/>
      <c r="U13" s="3">
        <f t="shared" si="2"/>
        <v>0</v>
      </c>
      <c r="V13" s="2">
        <f t="shared" si="3"/>
        <v>0</v>
      </c>
      <c r="W13" s="1">
        <f t="shared" si="4"/>
        <v>0</v>
      </c>
    </row>
    <row r="14" spans="1:23" ht="26.25" customHeight="1">
      <c r="A14" s="21">
        <v>290</v>
      </c>
      <c r="B14" s="51">
        <f t="shared" si="0"/>
        <v>2000</v>
      </c>
      <c r="C14" s="51">
        <f t="shared" si="1"/>
        <v>2000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79"/>
      <c r="O14" s="2"/>
      <c r="P14" s="2"/>
      <c r="Q14" s="2"/>
      <c r="R14" s="2"/>
      <c r="S14" s="2">
        <v>2000</v>
      </c>
      <c r="T14" s="2"/>
      <c r="U14" s="3">
        <f t="shared" si="2"/>
        <v>2000</v>
      </c>
      <c r="V14" s="2">
        <f t="shared" si="3"/>
        <v>2000</v>
      </c>
      <c r="W14" s="1">
        <f t="shared" si="4"/>
        <v>0</v>
      </c>
    </row>
    <row r="15" spans="1:23" ht="18.75" customHeight="1">
      <c r="A15" s="21">
        <v>310</v>
      </c>
      <c r="B15" s="51">
        <f t="shared" si="0"/>
        <v>506500</v>
      </c>
      <c r="C15" s="51">
        <f t="shared" si="1"/>
        <v>506500</v>
      </c>
      <c r="D15" s="29"/>
      <c r="E15" s="2"/>
      <c r="F15" s="2"/>
      <c r="G15" s="2">
        <f>99500+70000</f>
        <v>169500</v>
      </c>
      <c r="H15" s="2"/>
      <c r="I15" s="2"/>
      <c r="J15" s="2"/>
      <c r="K15" s="2"/>
      <c r="L15" s="2"/>
      <c r="M15" s="2"/>
      <c r="N15" s="79">
        <f>136000+201000</f>
        <v>337000</v>
      </c>
      <c r="O15" s="2"/>
      <c r="P15" s="2"/>
      <c r="Q15" s="2"/>
      <c r="R15" s="2"/>
      <c r="S15" s="2"/>
      <c r="T15" s="2"/>
      <c r="U15" s="3">
        <f t="shared" si="2"/>
        <v>506500</v>
      </c>
      <c r="V15" s="2">
        <f t="shared" si="3"/>
        <v>506500</v>
      </c>
      <c r="W15" s="1">
        <f>E15+H15+P15+R15+M15</f>
        <v>0</v>
      </c>
    </row>
    <row r="16" spans="1:23" ht="21" customHeight="1">
      <c r="A16" s="21">
        <v>340</v>
      </c>
      <c r="B16" s="51">
        <f t="shared" si="0"/>
        <v>187102.8</v>
      </c>
      <c r="C16" s="51">
        <f t="shared" si="1"/>
        <v>184498.8</v>
      </c>
      <c r="D16" s="29"/>
      <c r="E16" s="2"/>
      <c r="F16" s="2"/>
      <c r="G16" s="2">
        <v>162448.8</v>
      </c>
      <c r="H16" s="2"/>
      <c r="I16" s="2"/>
      <c r="J16" s="2">
        <v>3200</v>
      </c>
      <c r="K16" s="2">
        <v>2604</v>
      </c>
      <c r="L16" s="2"/>
      <c r="M16" s="2"/>
      <c r="N16" s="79">
        <f>1450+5000+12400</f>
        <v>18850</v>
      </c>
      <c r="O16" s="2"/>
      <c r="P16" s="2"/>
      <c r="Q16" s="2"/>
      <c r="R16" s="2"/>
      <c r="S16" s="2"/>
      <c r="T16" s="2"/>
      <c r="U16" s="3">
        <f t="shared" si="2"/>
        <v>187102.8</v>
      </c>
      <c r="V16" s="2">
        <f t="shared" si="3"/>
        <v>184498.8</v>
      </c>
      <c r="W16" s="1">
        <f t="shared" si="4"/>
        <v>0</v>
      </c>
    </row>
    <row r="17" spans="1:23" ht="15" customHeight="1">
      <c r="A17" s="21"/>
      <c r="B17" s="52">
        <f>SUM(B3:B16)</f>
        <v>5120658.3</v>
      </c>
      <c r="C17" s="52">
        <f>SUM(C3:C16)</f>
        <v>4714438.3</v>
      </c>
      <c r="D17" s="31">
        <f>SUM(D3:D16)</f>
        <v>230000</v>
      </c>
      <c r="E17" s="4">
        <f aca="true" t="shared" si="5" ref="E17:W17">SUM(E3:E16)</f>
        <v>141500</v>
      </c>
      <c r="F17" s="4">
        <f t="shared" si="5"/>
        <v>0</v>
      </c>
      <c r="G17" s="4">
        <f t="shared" si="5"/>
        <v>1787299.57</v>
      </c>
      <c r="H17" s="4">
        <f t="shared" si="5"/>
        <v>0</v>
      </c>
      <c r="I17" s="4">
        <f t="shared" si="5"/>
        <v>44220</v>
      </c>
      <c r="J17" s="4">
        <f t="shared" si="5"/>
        <v>3200</v>
      </c>
      <c r="K17" s="4">
        <f t="shared" si="5"/>
        <v>53650</v>
      </c>
      <c r="L17" s="4">
        <f t="shared" si="5"/>
        <v>0</v>
      </c>
      <c r="M17" s="4">
        <f t="shared" si="5"/>
        <v>60700</v>
      </c>
      <c r="N17" s="4">
        <f t="shared" si="5"/>
        <v>1104798.29</v>
      </c>
      <c r="O17" s="4">
        <f t="shared" si="5"/>
        <v>1177251.74</v>
      </c>
      <c r="P17" s="4">
        <f t="shared" si="5"/>
        <v>129500</v>
      </c>
      <c r="Q17" s="4">
        <f t="shared" si="5"/>
        <v>276968.7</v>
      </c>
      <c r="R17" s="3">
        <f t="shared" si="5"/>
        <v>81570</v>
      </c>
      <c r="S17" s="4">
        <f t="shared" si="5"/>
        <v>2000</v>
      </c>
      <c r="T17" s="4">
        <f t="shared" si="5"/>
        <v>28000</v>
      </c>
      <c r="U17" s="4">
        <f t="shared" si="5"/>
        <v>5120658.3</v>
      </c>
      <c r="V17" s="4">
        <f t="shared" si="5"/>
        <v>4714438.3</v>
      </c>
      <c r="W17" s="4">
        <f t="shared" si="5"/>
        <v>141500</v>
      </c>
    </row>
    <row r="18" spans="2:23" ht="13.5" customHeight="1">
      <c r="B18" s="11">
        <v>5120658.3</v>
      </c>
      <c r="C18" s="1"/>
      <c r="D18" s="97">
        <f>D17+E17</f>
        <v>371500</v>
      </c>
      <c r="E18" s="97"/>
      <c r="F18" s="1">
        <f>F19*26.2%</f>
        <v>0</v>
      </c>
      <c r="G18" s="97">
        <f>G17+H17</f>
        <v>1787299.57</v>
      </c>
      <c r="H18" s="97"/>
      <c r="I18" s="39"/>
      <c r="J18" s="39"/>
      <c r="K18" s="97">
        <f>K17+L17</f>
        <v>53650</v>
      </c>
      <c r="L18" s="97"/>
      <c r="M18" s="20"/>
      <c r="N18" s="1">
        <f>39000+290529.5+775268.79</f>
        <v>1104798.29</v>
      </c>
      <c r="O18" s="97">
        <f>O17+P17</f>
        <v>1306751.74</v>
      </c>
      <c r="P18" s="97"/>
      <c r="Q18" s="97">
        <f>Q17+R17</f>
        <v>358538.7</v>
      </c>
      <c r="R18" s="97"/>
      <c r="S18" s="10" t="s">
        <v>7</v>
      </c>
      <c r="T18" s="10"/>
      <c r="U18" s="11">
        <f>D17+F17+G17+N17+O17+Q17+S17+M17+I17+J17</f>
        <v>4686438.300000001</v>
      </c>
      <c r="W18" s="12">
        <f>K17</f>
        <v>53650</v>
      </c>
    </row>
    <row r="19" spans="2:23" ht="12.75">
      <c r="B19" s="11">
        <f>B17-B18</f>
        <v>0</v>
      </c>
      <c r="C19" s="1"/>
      <c r="S19" s="10" t="s">
        <v>8</v>
      </c>
      <c r="T19" s="10"/>
      <c r="U19" s="11">
        <f>U17-U18</f>
        <v>434219.99999999907</v>
      </c>
      <c r="W19" s="12">
        <f>W17+W18</f>
        <v>195150</v>
      </c>
    </row>
    <row r="20" spans="2:19" ht="14.25" customHeight="1">
      <c r="B20" s="1"/>
      <c r="C20" s="1"/>
      <c r="S20" s="48"/>
    </row>
    <row r="21" spans="2:22" ht="15" customHeight="1">
      <c r="B21" s="1"/>
      <c r="C21" s="1" t="s">
        <v>15</v>
      </c>
      <c r="V21" s="1" t="s">
        <v>15</v>
      </c>
    </row>
    <row r="22" spans="2:3" ht="15" customHeight="1">
      <c r="B22" s="1"/>
      <c r="C22" s="1"/>
    </row>
    <row r="23" spans="2:3" ht="14.25" customHeight="1">
      <c r="B23" s="1"/>
      <c r="C23" s="1"/>
    </row>
    <row r="24" spans="2:3" ht="15.75" customHeight="1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1.25" customHeight="1">
      <c r="B27" s="1"/>
      <c r="C27" s="1"/>
    </row>
    <row r="28" spans="2:3" ht="12" customHeight="1">
      <c r="B28" s="1"/>
      <c r="C28" s="1"/>
    </row>
    <row r="29" spans="2:3" ht="12" customHeight="1">
      <c r="B29" s="1"/>
      <c r="C29" s="1"/>
    </row>
    <row r="30" spans="2:3" ht="21.75" customHeight="1">
      <c r="B30" s="1"/>
      <c r="C30" s="1"/>
    </row>
    <row r="31" spans="2:3" ht="12" customHeight="1">
      <c r="B31" s="1"/>
      <c r="C31" s="1"/>
    </row>
    <row r="32" spans="2:3" ht="9.75" customHeight="1">
      <c r="B32" s="1"/>
      <c r="C32" s="1"/>
    </row>
    <row r="33" spans="2:3" ht="10.5" customHeight="1">
      <c r="B33" s="1"/>
      <c r="C33" s="1"/>
    </row>
    <row r="34" spans="2:3" ht="12.75">
      <c r="B34" s="1"/>
      <c r="C34" s="1"/>
    </row>
    <row r="35" spans="2:3" ht="10.5" customHeight="1">
      <c r="B35" s="1"/>
      <c r="C35" s="1"/>
    </row>
    <row r="36" spans="2:3" ht="9.75" customHeight="1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0.5" customHeight="1">
      <c r="B39" s="1"/>
      <c r="C39" s="1"/>
    </row>
    <row r="40" spans="2:3" ht="11.25" customHeight="1">
      <c r="B40" s="1"/>
      <c r="C40" s="1"/>
    </row>
    <row r="41" spans="2:3" ht="12" customHeight="1">
      <c r="B41" s="1"/>
      <c r="C41" s="1"/>
    </row>
    <row r="42" spans="2:3" ht="24" customHeight="1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9.75" customHeight="1">
      <c r="B46" s="1"/>
      <c r="C46" s="1"/>
    </row>
    <row r="47" spans="2:3" ht="9.75" customHeight="1">
      <c r="B47" s="1"/>
      <c r="C47" s="1"/>
    </row>
    <row r="48" spans="2:3" ht="10.5" customHeight="1">
      <c r="B48" s="1"/>
      <c r="C48" s="1"/>
    </row>
    <row r="49" spans="2:3" ht="11.25" customHeight="1">
      <c r="B49" s="1"/>
      <c r="C49" s="1"/>
    </row>
    <row r="50" spans="2:3" ht="12.75">
      <c r="B50" s="1"/>
      <c r="C50" s="1"/>
    </row>
    <row r="51" spans="2:3" ht="24" customHeight="1">
      <c r="B51" s="1"/>
      <c r="C51" s="1"/>
    </row>
    <row r="52" spans="2:3" ht="12.75">
      <c r="B52" s="1"/>
      <c r="C52" s="1"/>
    </row>
    <row r="53" spans="2:3" ht="12" customHeight="1">
      <c r="B53" s="1"/>
      <c r="C53" s="1"/>
    </row>
    <row r="54" spans="2:3" ht="12" customHeight="1">
      <c r="B54" s="1"/>
      <c r="C54" s="1"/>
    </row>
    <row r="55" spans="2:3" ht="12" customHeight="1">
      <c r="B55" s="1"/>
      <c r="C55" s="1"/>
    </row>
    <row r="56" spans="2:3" ht="12" customHeight="1">
      <c r="B56" s="1"/>
      <c r="C56" s="1"/>
    </row>
    <row r="57" spans="2:3" ht="12" customHeight="1">
      <c r="B57" s="1"/>
      <c r="C57" s="1"/>
    </row>
  </sheetData>
  <sheetProtection/>
  <mergeCells count="11">
    <mergeCell ref="B1:S1"/>
    <mergeCell ref="Q2:R2"/>
    <mergeCell ref="Q18:R18"/>
    <mergeCell ref="D2:E2"/>
    <mergeCell ref="G2:H2"/>
    <mergeCell ref="D18:E18"/>
    <mergeCell ref="G18:H18"/>
    <mergeCell ref="K18:L18"/>
    <mergeCell ref="O18:P18"/>
    <mergeCell ref="K2:L2"/>
    <mergeCell ref="O2:P2"/>
  </mergeCells>
  <conditionalFormatting sqref="W3:W16">
    <cfRule type="cellIs" priority="1" dxfId="1" operator="equal" stopIfTrue="1">
      <formula>0</formula>
    </cfRule>
  </conditionalFormatting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3" sqref="H13"/>
    </sheetView>
  </sheetViews>
  <sheetFormatPr defaultColWidth="9.140625" defaultRowHeight="12.75"/>
  <cols>
    <col min="1" max="1" width="9.28125" style="1" bestFit="1" customWidth="1"/>
    <col min="2" max="2" width="15.28125" style="1" customWidth="1"/>
    <col min="3" max="3" width="14.8515625" style="6" customWidth="1"/>
    <col min="4" max="4" width="15.421875" style="6" customWidth="1"/>
    <col min="5" max="5" width="14.7109375" style="1" customWidth="1"/>
    <col min="6" max="6" width="15.140625" style="1" customWidth="1"/>
    <col min="7" max="7" width="12.421875" style="1" customWidth="1"/>
    <col min="8" max="8" width="16.421875" style="1" customWidth="1"/>
    <col min="9" max="9" width="16.28125" style="1" customWidth="1"/>
    <col min="10" max="10" width="14.421875" style="1" customWidth="1"/>
    <col min="11" max="11" width="13.28125" style="1" customWidth="1"/>
    <col min="12" max="12" width="12.7109375" style="1" customWidth="1"/>
    <col min="13" max="13" width="11.57421875" style="1" customWidth="1"/>
    <col min="14" max="14" width="15.28125" style="1" customWidth="1"/>
    <col min="15" max="15" width="15.421875" style="1" customWidth="1"/>
    <col min="16" max="16" width="12.28125" style="1" customWidth="1"/>
    <col min="17" max="17" width="15.8515625" style="1" customWidth="1"/>
    <col min="18" max="18" width="13.421875" style="1" customWidth="1"/>
    <col min="19" max="19" width="11.28125" style="1" customWidth="1"/>
    <col min="20" max="20" width="17.57421875" style="1" customWidth="1"/>
    <col min="21" max="21" width="16.8515625" style="1" customWidth="1"/>
    <col min="22" max="22" width="11.140625" style="1" customWidth="1"/>
    <col min="23" max="23" width="15.28125" style="1" customWidth="1"/>
    <col min="24" max="24" width="15.140625" style="1" customWidth="1"/>
    <col min="25" max="25" width="13.57421875" style="1" customWidth="1"/>
    <col min="26" max="26" width="14.8515625" style="1" customWidth="1"/>
    <col min="27" max="27" width="14.28125" style="1" customWidth="1"/>
    <col min="28" max="28" width="13.28125" style="1" customWidth="1"/>
    <col min="29" max="29" width="13.140625" style="1" customWidth="1"/>
    <col min="30" max="30" width="14.00390625" style="1" customWidth="1"/>
    <col min="31" max="31" width="13.00390625" style="1" customWidth="1"/>
    <col min="32" max="32" width="11.7109375" style="1" customWidth="1"/>
    <col min="33" max="33" width="11.8515625" style="1" customWidth="1"/>
    <col min="34" max="34" width="18.7109375" style="1" customWidth="1"/>
    <col min="35" max="35" width="14.421875" style="1" customWidth="1"/>
    <col min="36" max="36" width="15.8515625" style="1" customWidth="1"/>
    <col min="37" max="37" width="14.8515625" style="1" customWidth="1"/>
    <col min="38" max="40" width="17.57421875" style="1" customWidth="1"/>
    <col min="41" max="41" width="14.7109375" style="1" bestFit="1" customWidth="1"/>
    <col min="42" max="42" width="13.57421875" style="1" bestFit="1" customWidth="1"/>
    <col min="43" max="16384" width="9.140625" style="1" customWidth="1"/>
  </cols>
  <sheetData>
    <row r="1" spans="1:252" s="14" customFormat="1" ht="13.5" customHeight="1" thickBot="1">
      <c r="A1" s="101" t="s">
        <v>35</v>
      </c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1" t="s">
        <v>20</v>
      </c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1" t="s">
        <v>20</v>
      </c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 t="s">
        <v>20</v>
      </c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1" t="s">
        <v>20</v>
      </c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1" t="s">
        <v>20</v>
      </c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1" t="s">
        <v>20</v>
      </c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1" t="s">
        <v>20</v>
      </c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1" t="s">
        <v>20</v>
      </c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1" t="s">
        <v>20</v>
      </c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1" t="s">
        <v>20</v>
      </c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1" t="s">
        <v>20</v>
      </c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1" t="s">
        <v>20</v>
      </c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1" t="s">
        <v>20</v>
      </c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1" t="s">
        <v>20</v>
      </c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1" t="s">
        <v>20</v>
      </c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</row>
    <row r="2" spans="1:42" s="13" customFormat="1" ht="13.5" customHeight="1">
      <c r="A2" s="64"/>
      <c r="B2" s="103" t="s">
        <v>16</v>
      </c>
      <c r="C2" s="104"/>
      <c r="D2" s="105"/>
      <c r="E2" s="98" t="s">
        <v>5</v>
      </c>
      <c r="F2" s="99"/>
      <c r="G2" s="100"/>
      <c r="H2" s="98" t="s">
        <v>11</v>
      </c>
      <c r="I2" s="99"/>
      <c r="J2" s="100"/>
      <c r="K2" s="106" t="s">
        <v>22</v>
      </c>
      <c r="L2" s="99"/>
      <c r="M2" s="107"/>
      <c r="N2" s="106" t="s">
        <v>27</v>
      </c>
      <c r="O2" s="99"/>
      <c r="P2" s="107"/>
      <c r="Q2" s="98" t="s">
        <v>17</v>
      </c>
      <c r="R2" s="99"/>
      <c r="S2" s="100"/>
      <c r="T2" s="98" t="s">
        <v>18</v>
      </c>
      <c r="U2" s="99"/>
      <c r="V2" s="100"/>
      <c r="W2" s="98" t="s">
        <v>12</v>
      </c>
      <c r="X2" s="99"/>
      <c r="Y2" s="100"/>
      <c r="Z2" s="98" t="s">
        <v>13</v>
      </c>
      <c r="AA2" s="99"/>
      <c r="AB2" s="100"/>
      <c r="AC2" s="98" t="s">
        <v>3</v>
      </c>
      <c r="AD2" s="99"/>
      <c r="AE2" s="100"/>
      <c r="AF2" s="98" t="s">
        <v>23</v>
      </c>
      <c r="AG2" s="99"/>
      <c r="AH2" s="100"/>
      <c r="AI2" s="98" t="s">
        <v>24</v>
      </c>
      <c r="AJ2" s="99"/>
      <c r="AK2" s="108"/>
      <c r="AL2" s="98" t="s">
        <v>16</v>
      </c>
      <c r="AM2" s="99"/>
      <c r="AN2" s="108"/>
      <c r="AO2" s="72"/>
      <c r="AP2" s="60"/>
    </row>
    <row r="3" spans="1:42" s="14" customFormat="1" ht="13.5" thickBot="1">
      <c r="A3" s="65"/>
      <c r="B3" s="67" t="s">
        <v>9</v>
      </c>
      <c r="C3" s="61" t="s">
        <v>10</v>
      </c>
      <c r="D3" s="68" t="s">
        <v>19</v>
      </c>
      <c r="E3" s="69" t="s">
        <v>9</v>
      </c>
      <c r="F3" s="62" t="s">
        <v>10</v>
      </c>
      <c r="G3" s="70" t="s">
        <v>19</v>
      </c>
      <c r="H3" s="69" t="s">
        <v>9</v>
      </c>
      <c r="I3" s="62" t="s">
        <v>10</v>
      </c>
      <c r="J3" s="70" t="s">
        <v>19</v>
      </c>
      <c r="K3" s="66" t="s">
        <v>9</v>
      </c>
      <c r="L3" s="62" t="s">
        <v>10</v>
      </c>
      <c r="M3" s="71" t="s">
        <v>19</v>
      </c>
      <c r="N3" s="69" t="s">
        <v>9</v>
      </c>
      <c r="O3" s="62" t="s">
        <v>10</v>
      </c>
      <c r="P3" s="70" t="s">
        <v>19</v>
      </c>
      <c r="Q3" s="69" t="s">
        <v>9</v>
      </c>
      <c r="R3" s="62" t="s">
        <v>10</v>
      </c>
      <c r="S3" s="70" t="s">
        <v>19</v>
      </c>
      <c r="T3" s="69" t="s">
        <v>9</v>
      </c>
      <c r="U3" s="62" t="s">
        <v>10</v>
      </c>
      <c r="V3" s="70" t="s">
        <v>19</v>
      </c>
      <c r="W3" s="69" t="s">
        <v>9</v>
      </c>
      <c r="X3" s="62" t="s">
        <v>10</v>
      </c>
      <c r="Y3" s="70" t="s">
        <v>19</v>
      </c>
      <c r="Z3" s="69" t="s">
        <v>9</v>
      </c>
      <c r="AA3" s="62" t="s">
        <v>10</v>
      </c>
      <c r="AB3" s="70" t="s">
        <v>19</v>
      </c>
      <c r="AC3" s="69" t="s">
        <v>9</v>
      </c>
      <c r="AD3" s="62" t="s">
        <v>10</v>
      </c>
      <c r="AE3" s="70" t="s">
        <v>19</v>
      </c>
      <c r="AF3" s="69" t="s">
        <v>9</v>
      </c>
      <c r="AG3" s="62" t="s">
        <v>10</v>
      </c>
      <c r="AH3" s="70" t="s">
        <v>19</v>
      </c>
      <c r="AI3" s="69" t="s">
        <v>9</v>
      </c>
      <c r="AJ3" s="62" t="s">
        <v>10</v>
      </c>
      <c r="AK3" s="70" t="s">
        <v>19</v>
      </c>
      <c r="AL3" s="69" t="s">
        <v>9</v>
      </c>
      <c r="AM3" s="62" t="s">
        <v>10</v>
      </c>
      <c r="AN3" s="70" t="s">
        <v>19</v>
      </c>
      <c r="AO3" s="73"/>
      <c r="AP3" s="63"/>
    </row>
    <row r="4" spans="1:42" s="16" customFormat="1" ht="21" customHeight="1">
      <c r="A4" s="57">
        <v>211</v>
      </c>
      <c r="B4" s="80">
        <f>AL4</f>
        <v>1624823</v>
      </c>
      <c r="C4" s="81">
        <f>AM4</f>
        <v>1352213.28</v>
      </c>
      <c r="D4" s="82">
        <f>AN4</f>
        <v>272609.72</v>
      </c>
      <c r="E4" s="58">
        <f>план!E3+план!F3</f>
        <v>344510</v>
      </c>
      <c r="F4" s="59">
        <f>Исполнение!D3+Исполнение!E3</f>
        <v>285300</v>
      </c>
      <c r="G4" s="53">
        <f aca="true" t="shared" si="0" ref="G4:G13">E4-F4</f>
        <v>59210</v>
      </c>
      <c r="H4" s="54">
        <f>план!H3+план!I3</f>
        <v>1280313</v>
      </c>
      <c r="I4" s="59">
        <f>Исполнение!G3+Исполнение!H3</f>
        <v>983087.28</v>
      </c>
      <c r="J4" s="55">
        <f aca="true" t="shared" si="1" ref="J4:J13">H4-I4</f>
        <v>297225.72</v>
      </c>
      <c r="K4" s="54">
        <f>план!J3</f>
        <v>0</v>
      </c>
      <c r="L4" s="59">
        <f>Исполнение!I3</f>
        <v>0</v>
      </c>
      <c r="M4" s="55">
        <f aca="true" t="shared" si="2" ref="M4:M13">K4-L4</f>
        <v>0</v>
      </c>
      <c r="N4" s="54">
        <f>план!K3</f>
        <v>0</v>
      </c>
      <c r="O4" s="59">
        <f>Исполнение!J3</f>
        <v>0</v>
      </c>
      <c r="P4" s="55">
        <f aca="true" t="shared" si="3" ref="P4:P13">N4-O4</f>
        <v>0</v>
      </c>
      <c r="Q4" s="54">
        <f>план!L3</f>
        <v>0</v>
      </c>
      <c r="R4" s="59">
        <f>Исполнение!K3+Исполнение!L3</f>
        <v>41826</v>
      </c>
      <c r="S4" s="55">
        <f aca="true" t="shared" si="4" ref="S4:S13">Q4-R4</f>
        <v>-41826</v>
      </c>
      <c r="T4" s="54">
        <f>план!N3</f>
        <v>0</v>
      </c>
      <c r="U4" s="59">
        <f>Исполнение!M3</f>
        <v>0</v>
      </c>
      <c r="V4" s="53">
        <f aca="true" t="shared" si="5" ref="V4:V13">T4-U4</f>
        <v>0</v>
      </c>
      <c r="W4" s="54">
        <f>план!O3</f>
        <v>0</v>
      </c>
      <c r="X4" s="59">
        <f>Исполнение!N3</f>
        <v>42000</v>
      </c>
      <c r="Y4" s="55">
        <f aca="true" t="shared" si="6" ref="Y4:Y13">W4-X4</f>
        <v>-42000</v>
      </c>
      <c r="Z4" s="58">
        <f>план!P3+план!Q3</f>
        <v>0</v>
      </c>
      <c r="AA4" s="59">
        <f>Исполнение!O3+Исполнение!P3</f>
        <v>0</v>
      </c>
      <c r="AB4" s="56">
        <f aca="true" t="shared" si="7" ref="AB4:AB13">Z4-AA4</f>
        <v>0</v>
      </c>
      <c r="AC4" s="54">
        <f>план!R3+план!S3</f>
        <v>0</v>
      </c>
      <c r="AD4" s="59">
        <f>Исполнение!Q3+Исполнение!R3</f>
        <v>0</v>
      </c>
      <c r="AE4" s="56">
        <f aca="true" t="shared" si="8" ref="AE4:AE13">AC4-AD4</f>
        <v>0</v>
      </c>
      <c r="AF4" s="58">
        <f>план!T3</f>
        <v>0</v>
      </c>
      <c r="AG4" s="59">
        <f>Исполнение!S3</f>
        <v>0</v>
      </c>
      <c r="AH4" s="55">
        <f aca="true" t="shared" si="9" ref="AH4:AH13">AF4-AG4</f>
        <v>0</v>
      </c>
      <c r="AI4" s="54">
        <f>план!U3</f>
        <v>0</v>
      </c>
      <c r="AJ4" s="59">
        <f>Исполнение!T3</f>
        <v>0</v>
      </c>
      <c r="AK4" s="53">
        <f aca="true" t="shared" si="10" ref="AK4:AK13">AI4-AJ4</f>
        <v>0</v>
      </c>
      <c r="AL4" s="54">
        <f>E4+H4+K4+N4+Q4+T4+W4+Z4+AC4+AF4+AI4</f>
        <v>1624823</v>
      </c>
      <c r="AM4" s="59">
        <f>F4+I4+L4+O4+R4+U4+X4+AA4+AD4+AG4+AJ4</f>
        <v>1352213.28</v>
      </c>
      <c r="AN4" s="56">
        <f>G4+J4+M4+P4+S4+V4+Y4+AB4+AE4+AH4+AK4</f>
        <v>272609.72</v>
      </c>
      <c r="AO4" s="47">
        <f>AL4-AM4</f>
        <v>272609.72</v>
      </c>
      <c r="AP4" s="47">
        <f>AN4-AO4</f>
        <v>0</v>
      </c>
    </row>
    <row r="5" spans="1:42" s="16" customFormat="1" ht="21" customHeight="1">
      <c r="A5" s="21">
        <v>212</v>
      </c>
      <c r="B5" s="83">
        <f aca="true" t="shared" si="11" ref="B5:B17">AL5</f>
        <v>0</v>
      </c>
      <c r="C5" s="84">
        <f aca="true" t="shared" si="12" ref="C5:C17">AM5</f>
        <v>1500</v>
      </c>
      <c r="D5" s="85">
        <f aca="true" t="shared" si="13" ref="D5:D17">AN5</f>
        <v>-1500</v>
      </c>
      <c r="E5" s="27">
        <f>план!E4+план!F4</f>
        <v>0</v>
      </c>
      <c r="F5" s="17">
        <f>Исполнение!D4+Исполнение!E4</f>
        <v>0</v>
      </c>
      <c r="G5" s="26">
        <f t="shared" si="0"/>
        <v>0</v>
      </c>
      <c r="H5" s="15">
        <f>план!H4+план!I4</f>
        <v>0</v>
      </c>
      <c r="I5" s="17">
        <f>Исполнение!G4+Исполнение!H4</f>
        <v>1500</v>
      </c>
      <c r="J5" s="22">
        <f t="shared" si="1"/>
        <v>-1500</v>
      </c>
      <c r="K5" s="15">
        <f>план!J4</f>
        <v>0</v>
      </c>
      <c r="L5" s="17">
        <f>Исполнение!I4</f>
        <v>0</v>
      </c>
      <c r="M5" s="22">
        <f t="shared" si="2"/>
        <v>0</v>
      </c>
      <c r="N5" s="15">
        <f>план!K4</f>
        <v>0</v>
      </c>
      <c r="O5" s="17">
        <f>Исполнение!J4</f>
        <v>0</v>
      </c>
      <c r="P5" s="22">
        <f t="shared" si="3"/>
        <v>0</v>
      </c>
      <c r="Q5" s="15">
        <f>план!L4</f>
        <v>0</v>
      </c>
      <c r="R5" s="17">
        <f>Исполнение!K4+Исполнение!L4</f>
        <v>0</v>
      </c>
      <c r="S5" s="22">
        <f t="shared" si="4"/>
        <v>0</v>
      </c>
      <c r="T5" s="15">
        <f>план!N4</f>
        <v>0</v>
      </c>
      <c r="U5" s="17">
        <f>Исполнение!M4</f>
        <v>0</v>
      </c>
      <c r="V5" s="26">
        <f t="shared" si="5"/>
        <v>0</v>
      </c>
      <c r="W5" s="15">
        <f>план!O4</f>
        <v>0</v>
      </c>
      <c r="X5" s="17">
        <f>Исполнение!N4</f>
        <v>0</v>
      </c>
      <c r="Y5" s="22">
        <f t="shared" si="6"/>
        <v>0</v>
      </c>
      <c r="Z5" s="27">
        <f>план!P4+план!Q4</f>
        <v>0</v>
      </c>
      <c r="AA5" s="17">
        <f>Исполнение!O4+Исполнение!P4</f>
        <v>0</v>
      </c>
      <c r="AB5" s="18">
        <f t="shared" si="7"/>
        <v>0</v>
      </c>
      <c r="AC5" s="15">
        <f>план!R4+план!S4</f>
        <v>0</v>
      </c>
      <c r="AD5" s="17">
        <f>Исполнение!Q4+Исполнение!R4</f>
        <v>0</v>
      </c>
      <c r="AE5" s="18">
        <f t="shared" si="8"/>
        <v>0</v>
      </c>
      <c r="AF5" s="27">
        <f>план!T4</f>
        <v>0</v>
      </c>
      <c r="AG5" s="17">
        <f>Исполнение!S4</f>
        <v>0</v>
      </c>
      <c r="AH5" s="22">
        <f t="shared" si="9"/>
        <v>0</v>
      </c>
      <c r="AI5" s="15">
        <f>план!U4</f>
        <v>0</v>
      </c>
      <c r="AJ5" s="17">
        <f>Исполнение!T4</f>
        <v>0</v>
      </c>
      <c r="AK5" s="26">
        <f t="shared" si="10"/>
        <v>0</v>
      </c>
      <c r="AL5" s="15">
        <f aca="true" t="shared" si="14" ref="AL5:AL17">E5+H5+K5+N5+Q5+T5+W5+Z5+AC5+AF5+AI5</f>
        <v>0</v>
      </c>
      <c r="AM5" s="17">
        <f aca="true" t="shared" si="15" ref="AM5:AM17">F5+I5+L5+O5+R5+U5+X5+AA5+AD5+AG5+AJ5</f>
        <v>1500</v>
      </c>
      <c r="AN5" s="18">
        <f aca="true" t="shared" si="16" ref="AN5:AN17">G5+J5+M5+P5+S5+V5+Y5+AB5+AE5+AH5+AK5</f>
        <v>-1500</v>
      </c>
      <c r="AO5" s="47">
        <f aca="true" t="shared" si="17" ref="AO5:AO17">AL5-AM5</f>
        <v>-1500</v>
      </c>
      <c r="AP5" s="47">
        <f aca="true" t="shared" si="18" ref="AP5:AP17">AN5-AO5</f>
        <v>0</v>
      </c>
    </row>
    <row r="6" spans="1:42" s="16" customFormat="1" ht="21" customHeight="1">
      <c r="A6" s="21">
        <v>213</v>
      </c>
      <c r="B6" s="83">
        <f t="shared" si="11"/>
        <v>104050</v>
      </c>
      <c r="C6" s="84">
        <f t="shared" si="12"/>
        <v>398987.77</v>
      </c>
      <c r="D6" s="85">
        <f t="shared" si="13"/>
        <v>-294937.77</v>
      </c>
      <c r="E6" s="27">
        <f>план!E5+план!F5</f>
        <v>104050</v>
      </c>
      <c r="F6" s="17">
        <f>Исполнение!D5+Исполнение!E5</f>
        <v>86200</v>
      </c>
      <c r="G6" s="26">
        <f t="shared" si="0"/>
        <v>17850</v>
      </c>
      <c r="H6" s="15">
        <f>план!H5+план!I5</f>
        <v>0</v>
      </c>
      <c r="I6" s="17">
        <f>Исполнение!G5+Исполнение!H5</f>
        <v>290883.77</v>
      </c>
      <c r="J6" s="22">
        <f t="shared" si="1"/>
        <v>-290883.77</v>
      </c>
      <c r="K6" s="15">
        <f>план!J5</f>
        <v>0</v>
      </c>
      <c r="L6" s="17">
        <f>Исполнение!I5</f>
        <v>0</v>
      </c>
      <c r="M6" s="22">
        <f t="shared" si="2"/>
        <v>0</v>
      </c>
      <c r="N6" s="15">
        <f>план!K5</f>
        <v>0</v>
      </c>
      <c r="O6" s="17">
        <f>Исполнение!J5</f>
        <v>0</v>
      </c>
      <c r="P6" s="22">
        <f t="shared" si="3"/>
        <v>0</v>
      </c>
      <c r="Q6" s="15">
        <f>план!L5</f>
        <v>0</v>
      </c>
      <c r="R6" s="17">
        <f>Исполнение!K5+Исполнение!L5</f>
        <v>9220</v>
      </c>
      <c r="S6" s="22">
        <f t="shared" si="4"/>
        <v>-9220</v>
      </c>
      <c r="T6" s="15">
        <f>план!N5</f>
        <v>0</v>
      </c>
      <c r="U6" s="17">
        <f>Исполнение!M5</f>
        <v>0</v>
      </c>
      <c r="V6" s="26">
        <f t="shared" si="5"/>
        <v>0</v>
      </c>
      <c r="W6" s="15">
        <f>план!O5</f>
        <v>0</v>
      </c>
      <c r="X6" s="17">
        <f>Исполнение!N5</f>
        <v>12684</v>
      </c>
      <c r="Y6" s="22">
        <f t="shared" si="6"/>
        <v>-12684</v>
      </c>
      <c r="Z6" s="27">
        <f>план!P5+план!Q5</f>
        <v>0</v>
      </c>
      <c r="AA6" s="17">
        <f>Исполнение!O5+Исполнение!P5</f>
        <v>0</v>
      </c>
      <c r="AB6" s="18">
        <f t="shared" si="7"/>
        <v>0</v>
      </c>
      <c r="AC6" s="15">
        <f>план!R5+план!S5</f>
        <v>0</v>
      </c>
      <c r="AD6" s="17">
        <f>Исполнение!Q5+Исполнение!R5</f>
        <v>0</v>
      </c>
      <c r="AE6" s="18">
        <f t="shared" si="8"/>
        <v>0</v>
      </c>
      <c r="AF6" s="27">
        <f>план!T5</f>
        <v>0</v>
      </c>
      <c r="AG6" s="17">
        <f>Исполнение!S5</f>
        <v>0</v>
      </c>
      <c r="AH6" s="22">
        <f t="shared" si="9"/>
        <v>0</v>
      </c>
      <c r="AI6" s="15">
        <f>план!U5</f>
        <v>0</v>
      </c>
      <c r="AJ6" s="17">
        <f>Исполнение!T5</f>
        <v>0</v>
      </c>
      <c r="AK6" s="26">
        <f t="shared" si="10"/>
        <v>0</v>
      </c>
      <c r="AL6" s="15">
        <f t="shared" si="14"/>
        <v>104050</v>
      </c>
      <c r="AM6" s="17">
        <f t="shared" si="15"/>
        <v>398987.77</v>
      </c>
      <c r="AN6" s="18">
        <f t="shared" si="16"/>
        <v>-294937.77</v>
      </c>
      <c r="AO6" s="47">
        <f t="shared" si="17"/>
        <v>-294937.77</v>
      </c>
      <c r="AP6" s="47">
        <f t="shared" si="18"/>
        <v>0</v>
      </c>
    </row>
    <row r="7" spans="1:42" s="16" customFormat="1" ht="21" customHeight="1">
      <c r="A7" s="21">
        <v>221</v>
      </c>
      <c r="B7" s="83">
        <f t="shared" si="11"/>
        <v>0</v>
      </c>
      <c r="C7" s="84">
        <f t="shared" si="12"/>
        <v>55921.24</v>
      </c>
      <c r="D7" s="85">
        <f t="shared" si="13"/>
        <v>-55921.24</v>
      </c>
      <c r="E7" s="27">
        <f>план!E6+план!F6</f>
        <v>0</v>
      </c>
      <c r="F7" s="17">
        <f>Исполнение!D6+Исполнение!E6</f>
        <v>0</v>
      </c>
      <c r="G7" s="26">
        <f t="shared" si="0"/>
        <v>0</v>
      </c>
      <c r="H7" s="15">
        <f>план!H6+план!I6</f>
        <v>0</v>
      </c>
      <c r="I7" s="17">
        <f>Исполнение!G6+Исполнение!H6</f>
        <v>55921.24</v>
      </c>
      <c r="J7" s="22">
        <f t="shared" si="1"/>
        <v>-55921.24</v>
      </c>
      <c r="K7" s="15">
        <f>план!J6</f>
        <v>0</v>
      </c>
      <c r="L7" s="17">
        <f>Исполнение!I6</f>
        <v>0</v>
      </c>
      <c r="M7" s="22">
        <f t="shared" si="2"/>
        <v>0</v>
      </c>
      <c r="N7" s="15">
        <f>план!K6</f>
        <v>0</v>
      </c>
      <c r="O7" s="17">
        <f>Исполнение!J6</f>
        <v>0</v>
      </c>
      <c r="P7" s="22">
        <f t="shared" si="3"/>
        <v>0</v>
      </c>
      <c r="Q7" s="15">
        <f>план!L6</f>
        <v>0</v>
      </c>
      <c r="R7" s="17">
        <f>Исполнение!K6+Исполнение!L6</f>
        <v>0</v>
      </c>
      <c r="S7" s="22">
        <f t="shared" si="4"/>
        <v>0</v>
      </c>
      <c r="T7" s="15">
        <f>план!N6</f>
        <v>0</v>
      </c>
      <c r="U7" s="17">
        <f>Исполнение!M6</f>
        <v>0</v>
      </c>
      <c r="V7" s="26">
        <f t="shared" si="5"/>
        <v>0</v>
      </c>
      <c r="W7" s="15">
        <f>план!O6</f>
        <v>0</v>
      </c>
      <c r="X7" s="17">
        <f>Исполнение!N6</f>
        <v>0</v>
      </c>
      <c r="Y7" s="22">
        <f t="shared" si="6"/>
        <v>0</v>
      </c>
      <c r="Z7" s="27">
        <f>план!P6+план!Q6</f>
        <v>0</v>
      </c>
      <c r="AA7" s="17">
        <f>Исполнение!O6+Исполнение!P6</f>
        <v>0</v>
      </c>
      <c r="AB7" s="18">
        <f t="shared" si="7"/>
        <v>0</v>
      </c>
      <c r="AC7" s="15">
        <f>план!R6+план!S6</f>
        <v>0</v>
      </c>
      <c r="AD7" s="17">
        <f>Исполнение!Q6+Исполнение!R6</f>
        <v>0</v>
      </c>
      <c r="AE7" s="18">
        <f t="shared" si="8"/>
        <v>0</v>
      </c>
      <c r="AF7" s="27">
        <f>план!T6</f>
        <v>0</v>
      </c>
      <c r="AG7" s="17">
        <f>Исполнение!S6</f>
        <v>0</v>
      </c>
      <c r="AH7" s="22">
        <f t="shared" si="9"/>
        <v>0</v>
      </c>
      <c r="AI7" s="15">
        <f>план!U6</f>
        <v>0</v>
      </c>
      <c r="AJ7" s="17">
        <f>Исполнение!T6</f>
        <v>0</v>
      </c>
      <c r="AK7" s="26">
        <f t="shared" si="10"/>
        <v>0</v>
      </c>
      <c r="AL7" s="15">
        <f t="shared" si="14"/>
        <v>0</v>
      </c>
      <c r="AM7" s="17">
        <f t="shared" si="15"/>
        <v>55921.24</v>
      </c>
      <c r="AN7" s="18">
        <f t="shared" si="16"/>
        <v>-55921.24</v>
      </c>
      <c r="AO7" s="47">
        <f t="shared" si="17"/>
        <v>-55921.24</v>
      </c>
      <c r="AP7" s="47">
        <f t="shared" si="18"/>
        <v>0</v>
      </c>
    </row>
    <row r="8" spans="1:42" s="16" customFormat="1" ht="21" customHeight="1">
      <c r="A8" s="21">
        <v>222</v>
      </c>
      <c r="B8" s="83">
        <f t="shared" si="11"/>
        <v>0</v>
      </c>
      <c r="C8" s="84">
        <f t="shared" si="12"/>
        <v>15561.1</v>
      </c>
      <c r="D8" s="85">
        <f t="shared" si="13"/>
        <v>-15561.1</v>
      </c>
      <c r="E8" s="27">
        <f>план!E7+план!F7</f>
        <v>0</v>
      </c>
      <c r="F8" s="17">
        <f>Исполнение!D7+Исполнение!E7</f>
        <v>0</v>
      </c>
      <c r="G8" s="26">
        <f t="shared" si="0"/>
        <v>0</v>
      </c>
      <c r="H8" s="15">
        <f>план!H7+план!I7</f>
        <v>0</v>
      </c>
      <c r="I8" s="17">
        <f>Исполнение!G7+Исполнение!H7</f>
        <v>11961.1</v>
      </c>
      <c r="J8" s="22">
        <f t="shared" si="1"/>
        <v>-11961.1</v>
      </c>
      <c r="K8" s="15">
        <f>план!J7</f>
        <v>0</v>
      </c>
      <c r="L8" s="17">
        <f>Исполнение!I7</f>
        <v>0</v>
      </c>
      <c r="M8" s="22">
        <f t="shared" si="2"/>
        <v>0</v>
      </c>
      <c r="N8" s="15">
        <f>план!K7</f>
        <v>0</v>
      </c>
      <c r="O8" s="17">
        <f>Исполнение!J7</f>
        <v>0</v>
      </c>
      <c r="P8" s="22">
        <f t="shared" si="3"/>
        <v>0</v>
      </c>
      <c r="Q8" s="15">
        <f>план!L7</f>
        <v>0</v>
      </c>
      <c r="R8" s="17">
        <f>Исполнение!K7+Исполнение!L7</f>
        <v>0</v>
      </c>
      <c r="S8" s="22">
        <f t="shared" si="4"/>
        <v>0</v>
      </c>
      <c r="T8" s="15">
        <f>план!N7</f>
        <v>0</v>
      </c>
      <c r="U8" s="17">
        <f>Исполнение!M7</f>
        <v>0</v>
      </c>
      <c r="V8" s="26">
        <f t="shared" si="5"/>
        <v>0</v>
      </c>
      <c r="W8" s="15">
        <f>план!O7</f>
        <v>0</v>
      </c>
      <c r="X8" s="17">
        <f>Исполнение!N7</f>
        <v>3600</v>
      </c>
      <c r="Y8" s="22">
        <f t="shared" si="6"/>
        <v>-3600</v>
      </c>
      <c r="Z8" s="27">
        <f>план!P7+план!Q7</f>
        <v>0</v>
      </c>
      <c r="AA8" s="17">
        <f>Исполнение!O7+Исполнение!P7</f>
        <v>0</v>
      </c>
      <c r="AB8" s="18">
        <f t="shared" si="7"/>
        <v>0</v>
      </c>
      <c r="AC8" s="15">
        <f>план!R7+план!S7</f>
        <v>0</v>
      </c>
      <c r="AD8" s="17">
        <f>Исполнение!Q7+Исполнение!R7</f>
        <v>0</v>
      </c>
      <c r="AE8" s="18">
        <f t="shared" si="8"/>
        <v>0</v>
      </c>
      <c r="AF8" s="27">
        <f>план!T7</f>
        <v>0</v>
      </c>
      <c r="AG8" s="17">
        <f>Исполнение!S7</f>
        <v>0</v>
      </c>
      <c r="AH8" s="22">
        <f t="shared" si="9"/>
        <v>0</v>
      </c>
      <c r="AI8" s="15">
        <f>план!U7</f>
        <v>0</v>
      </c>
      <c r="AJ8" s="17">
        <f>Исполнение!T7</f>
        <v>0</v>
      </c>
      <c r="AK8" s="26">
        <f t="shared" si="10"/>
        <v>0</v>
      </c>
      <c r="AL8" s="15">
        <f t="shared" si="14"/>
        <v>0</v>
      </c>
      <c r="AM8" s="17">
        <f t="shared" si="15"/>
        <v>15561.1</v>
      </c>
      <c r="AN8" s="18">
        <f t="shared" si="16"/>
        <v>-15561.1</v>
      </c>
      <c r="AO8" s="47">
        <f t="shared" si="17"/>
        <v>-15561.1</v>
      </c>
      <c r="AP8" s="47">
        <f t="shared" si="18"/>
        <v>0</v>
      </c>
    </row>
    <row r="9" spans="1:42" s="16" customFormat="1" ht="21" customHeight="1">
      <c r="A9" s="21">
        <v>223</v>
      </c>
      <c r="B9" s="83">
        <f t="shared" si="11"/>
        <v>0</v>
      </c>
      <c r="C9" s="84">
        <f t="shared" si="12"/>
        <v>222261.29</v>
      </c>
      <c r="D9" s="85">
        <f t="shared" si="13"/>
        <v>-222261.29</v>
      </c>
      <c r="E9" s="27">
        <f>план!E8+план!F8</f>
        <v>0</v>
      </c>
      <c r="F9" s="17">
        <f>Исполнение!D8+Исполнение!E8</f>
        <v>0</v>
      </c>
      <c r="G9" s="26">
        <f t="shared" si="0"/>
        <v>0</v>
      </c>
      <c r="H9" s="15">
        <f>план!H8+план!I8</f>
        <v>0</v>
      </c>
      <c r="I9" s="17">
        <f>Исполнение!G8+Исполнение!H8</f>
        <v>7480</v>
      </c>
      <c r="J9" s="22">
        <f t="shared" si="1"/>
        <v>-7480</v>
      </c>
      <c r="K9" s="15">
        <f>план!J8</f>
        <v>0</v>
      </c>
      <c r="L9" s="17">
        <f>Исполнение!I8</f>
        <v>0</v>
      </c>
      <c r="M9" s="22">
        <f t="shared" si="2"/>
        <v>0</v>
      </c>
      <c r="N9" s="15">
        <f>план!K8</f>
        <v>0</v>
      </c>
      <c r="O9" s="17">
        <f>Исполнение!J8</f>
        <v>0</v>
      </c>
      <c r="P9" s="22">
        <f t="shared" si="3"/>
        <v>0</v>
      </c>
      <c r="Q9" s="15">
        <f>план!L8</f>
        <v>0</v>
      </c>
      <c r="R9" s="17">
        <f>Исполнение!K8+Исполнение!L8</f>
        <v>0</v>
      </c>
      <c r="S9" s="22">
        <f t="shared" si="4"/>
        <v>0</v>
      </c>
      <c r="T9" s="15">
        <f>план!N8</f>
        <v>0</v>
      </c>
      <c r="U9" s="17">
        <f>Исполнение!M8</f>
        <v>0</v>
      </c>
      <c r="V9" s="26">
        <f t="shared" si="5"/>
        <v>0</v>
      </c>
      <c r="W9" s="15">
        <f>план!O8</f>
        <v>0</v>
      </c>
      <c r="X9" s="17">
        <f>Исполнение!N8</f>
        <v>214781.29</v>
      </c>
      <c r="Y9" s="22">
        <f t="shared" si="6"/>
        <v>-214781.29</v>
      </c>
      <c r="Z9" s="27">
        <f>план!P8+план!Q8</f>
        <v>0</v>
      </c>
      <c r="AA9" s="17">
        <f>Исполнение!O8+Исполнение!P8</f>
        <v>0</v>
      </c>
      <c r="AB9" s="18">
        <f t="shared" si="7"/>
        <v>0</v>
      </c>
      <c r="AC9" s="15">
        <f>план!R8+план!S8</f>
        <v>0</v>
      </c>
      <c r="AD9" s="17">
        <f>Исполнение!Q8+Исполнение!R8</f>
        <v>0</v>
      </c>
      <c r="AE9" s="18">
        <f t="shared" si="8"/>
        <v>0</v>
      </c>
      <c r="AF9" s="27">
        <f>план!T8</f>
        <v>0</v>
      </c>
      <c r="AG9" s="17">
        <f>Исполнение!S8</f>
        <v>0</v>
      </c>
      <c r="AH9" s="22">
        <f t="shared" si="9"/>
        <v>0</v>
      </c>
      <c r="AI9" s="15">
        <f>план!U8</f>
        <v>0</v>
      </c>
      <c r="AJ9" s="17">
        <f>Исполнение!T8</f>
        <v>0</v>
      </c>
      <c r="AK9" s="26">
        <f t="shared" si="10"/>
        <v>0</v>
      </c>
      <c r="AL9" s="15">
        <f t="shared" si="14"/>
        <v>0</v>
      </c>
      <c r="AM9" s="17">
        <f t="shared" si="15"/>
        <v>222261.29</v>
      </c>
      <c r="AN9" s="18">
        <f t="shared" si="16"/>
        <v>-222261.29</v>
      </c>
      <c r="AO9" s="47">
        <f t="shared" si="17"/>
        <v>-222261.29</v>
      </c>
      <c r="AP9" s="47">
        <f t="shared" si="18"/>
        <v>0</v>
      </c>
    </row>
    <row r="10" spans="1:42" s="16" customFormat="1" ht="21" customHeight="1">
      <c r="A10" s="21">
        <v>225</v>
      </c>
      <c r="B10" s="83">
        <f t="shared" si="11"/>
        <v>0</v>
      </c>
      <c r="C10" s="84">
        <f t="shared" si="12"/>
        <v>537342</v>
      </c>
      <c r="D10" s="85">
        <f t="shared" si="13"/>
        <v>-537342</v>
      </c>
      <c r="E10" s="27">
        <f>план!E9+план!F9</f>
        <v>0</v>
      </c>
      <c r="F10" s="17">
        <f>Исполнение!D9+Исполнение!E9</f>
        <v>0</v>
      </c>
      <c r="G10" s="26">
        <f t="shared" si="0"/>
        <v>0</v>
      </c>
      <c r="H10" s="15">
        <f>план!H9+план!I9</f>
        <v>0</v>
      </c>
      <c r="I10" s="17">
        <f>Исполнение!G9+Исполнение!H9</f>
        <v>13000</v>
      </c>
      <c r="J10" s="22">
        <f t="shared" si="1"/>
        <v>-13000</v>
      </c>
      <c r="K10" s="15">
        <f>план!J9</f>
        <v>0</v>
      </c>
      <c r="L10" s="17">
        <f>Исполнение!I9</f>
        <v>0</v>
      </c>
      <c r="M10" s="22">
        <f t="shared" si="2"/>
        <v>0</v>
      </c>
      <c r="N10" s="15">
        <f>план!K9</f>
        <v>0</v>
      </c>
      <c r="O10" s="17">
        <f>Исполнение!J9</f>
        <v>0</v>
      </c>
      <c r="P10" s="22">
        <f t="shared" si="3"/>
        <v>0</v>
      </c>
      <c r="Q10" s="15">
        <f>план!L9</f>
        <v>0</v>
      </c>
      <c r="R10" s="17">
        <f>Исполнение!K9+Исполнение!L9</f>
        <v>0</v>
      </c>
      <c r="S10" s="22">
        <f t="shared" si="4"/>
        <v>0</v>
      </c>
      <c r="T10" s="15">
        <f>план!N9</f>
        <v>0</v>
      </c>
      <c r="U10" s="17">
        <f>Исполнение!M9</f>
        <v>48459</v>
      </c>
      <c r="V10" s="26">
        <f t="shared" si="5"/>
        <v>-48459</v>
      </c>
      <c r="W10" s="15">
        <f>план!O9</f>
        <v>0</v>
      </c>
      <c r="X10" s="17">
        <f>Исполнение!N9</f>
        <v>475883</v>
      </c>
      <c r="Y10" s="22">
        <f t="shared" si="6"/>
        <v>-475883</v>
      </c>
      <c r="Z10" s="27">
        <f>план!P9+план!Q9</f>
        <v>0</v>
      </c>
      <c r="AA10" s="17">
        <f>Исполнение!O9+Исполнение!P9</f>
        <v>0</v>
      </c>
      <c r="AB10" s="18">
        <f t="shared" si="7"/>
        <v>0</v>
      </c>
      <c r="AC10" s="15">
        <f>план!R9+план!S9</f>
        <v>0</v>
      </c>
      <c r="AD10" s="17">
        <f>Исполнение!Q9+Исполнение!R9</f>
        <v>0</v>
      </c>
      <c r="AE10" s="18">
        <f t="shared" si="8"/>
        <v>0</v>
      </c>
      <c r="AF10" s="27">
        <f>план!T9</f>
        <v>0</v>
      </c>
      <c r="AG10" s="17">
        <f>Исполнение!S9</f>
        <v>0</v>
      </c>
      <c r="AH10" s="22">
        <f t="shared" si="9"/>
        <v>0</v>
      </c>
      <c r="AI10" s="15">
        <f>план!U9</f>
        <v>0</v>
      </c>
      <c r="AJ10" s="17">
        <f>Исполнение!T9</f>
        <v>0</v>
      </c>
      <c r="AK10" s="26">
        <f t="shared" si="10"/>
        <v>0</v>
      </c>
      <c r="AL10" s="15">
        <f t="shared" si="14"/>
        <v>0</v>
      </c>
      <c r="AM10" s="17">
        <f t="shared" si="15"/>
        <v>537342</v>
      </c>
      <c r="AN10" s="18">
        <f t="shared" si="16"/>
        <v>-537342</v>
      </c>
      <c r="AO10" s="47">
        <f t="shared" si="17"/>
        <v>-537342</v>
      </c>
      <c r="AP10" s="47">
        <f t="shared" si="18"/>
        <v>0</v>
      </c>
    </row>
    <row r="11" spans="1:42" s="16" customFormat="1" ht="21" customHeight="1">
      <c r="A11" s="21">
        <v>226</v>
      </c>
      <c r="B11" s="83">
        <f t="shared" si="11"/>
        <v>0</v>
      </c>
      <c r="C11" s="84">
        <f t="shared" si="12"/>
        <v>154758.38</v>
      </c>
      <c r="D11" s="85">
        <f t="shared" si="13"/>
        <v>-154758.38</v>
      </c>
      <c r="E11" s="27">
        <f>план!E10+план!F10</f>
        <v>0</v>
      </c>
      <c r="F11" s="17">
        <f>Исполнение!D10+Исполнение!E10</f>
        <v>0</v>
      </c>
      <c r="G11" s="26">
        <f t="shared" si="0"/>
        <v>0</v>
      </c>
      <c r="H11" s="15">
        <f>план!H10+план!I10</f>
        <v>0</v>
      </c>
      <c r="I11" s="17">
        <f>Исполнение!G10+Исполнение!H10</f>
        <v>91517.38</v>
      </c>
      <c r="J11" s="22">
        <f t="shared" si="1"/>
        <v>-91517.38</v>
      </c>
      <c r="K11" s="15">
        <f>план!J10</f>
        <v>0</v>
      </c>
      <c r="L11" s="17">
        <f>Исполнение!I10</f>
        <v>23000</v>
      </c>
      <c r="M11" s="22">
        <f t="shared" si="2"/>
        <v>-23000</v>
      </c>
      <c r="N11" s="15">
        <f>план!K10</f>
        <v>0</v>
      </c>
      <c r="O11" s="17">
        <f>Исполнение!J10</f>
        <v>0</v>
      </c>
      <c r="P11" s="22">
        <f t="shared" si="3"/>
        <v>0</v>
      </c>
      <c r="Q11" s="15">
        <f>план!L10</f>
        <v>0</v>
      </c>
      <c r="R11" s="17">
        <f>Исполнение!K10+Исполнение!L10</f>
        <v>0</v>
      </c>
      <c r="S11" s="22">
        <f t="shared" si="4"/>
        <v>0</v>
      </c>
      <c r="T11" s="15">
        <f>план!N10</f>
        <v>0</v>
      </c>
      <c r="U11" s="17">
        <f>Исполнение!M10</f>
        <v>12241</v>
      </c>
      <c r="V11" s="26">
        <f t="shared" si="5"/>
        <v>-12241</v>
      </c>
      <c r="W11" s="15">
        <f>план!O10</f>
        <v>0</v>
      </c>
      <c r="X11" s="17">
        <f>Исполнение!N10</f>
        <v>0</v>
      </c>
      <c r="Y11" s="22">
        <f t="shared" si="6"/>
        <v>0</v>
      </c>
      <c r="Z11" s="27">
        <f>план!P10+план!Q10</f>
        <v>0</v>
      </c>
      <c r="AA11" s="17">
        <f>Исполнение!O10+Исполнение!P10</f>
        <v>0</v>
      </c>
      <c r="AB11" s="18">
        <f t="shared" si="7"/>
        <v>0</v>
      </c>
      <c r="AC11" s="15">
        <f>план!R10+план!S10</f>
        <v>0</v>
      </c>
      <c r="AD11" s="17">
        <f>Исполнение!Q10+Исполнение!R10</f>
        <v>0</v>
      </c>
      <c r="AE11" s="18">
        <f t="shared" si="8"/>
        <v>0</v>
      </c>
      <c r="AF11" s="27">
        <f>план!T10</f>
        <v>0</v>
      </c>
      <c r="AG11" s="17">
        <f>Исполнение!S10</f>
        <v>0</v>
      </c>
      <c r="AH11" s="22">
        <f t="shared" si="9"/>
        <v>0</v>
      </c>
      <c r="AI11" s="15">
        <f>план!U10</f>
        <v>0</v>
      </c>
      <c r="AJ11" s="17">
        <f>Исполнение!T10</f>
        <v>28000</v>
      </c>
      <c r="AK11" s="26">
        <f t="shared" si="10"/>
        <v>-28000</v>
      </c>
      <c r="AL11" s="15">
        <f t="shared" si="14"/>
        <v>0</v>
      </c>
      <c r="AM11" s="17">
        <f t="shared" si="15"/>
        <v>154758.38</v>
      </c>
      <c r="AN11" s="18">
        <f t="shared" si="16"/>
        <v>-154758.38</v>
      </c>
      <c r="AO11" s="47">
        <f t="shared" si="17"/>
        <v>-154758.38</v>
      </c>
      <c r="AP11" s="47">
        <f t="shared" si="18"/>
        <v>0</v>
      </c>
    </row>
    <row r="12" spans="1:42" s="16" customFormat="1" ht="21" customHeight="1">
      <c r="A12" s="21">
        <v>242</v>
      </c>
      <c r="B12" s="83">
        <f>AL12</f>
        <v>0</v>
      </c>
      <c r="C12" s="84">
        <f>AM12</f>
        <v>1665290.44</v>
      </c>
      <c r="D12" s="85">
        <f>AN12</f>
        <v>-1665290.44</v>
      </c>
      <c r="E12" s="27">
        <f>план!E11+план!F11</f>
        <v>0</v>
      </c>
      <c r="F12" s="17">
        <f>Исполнение!D11+Исполнение!E11</f>
        <v>0</v>
      </c>
      <c r="G12" s="26">
        <f>E12-F12</f>
        <v>0</v>
      </c>
      <c r="H12" s="15">
        <f>план!H11+план!I11</f>
        <v>0</v>
      </c>
      <c r="I12" s="17">
        <f>Исполнение!G11+Исполнение!H11</f>
        <v>0</v>
      </c>
      <c r="J12" s="22">
        <f>H12-I12</f>
        <v>0</v>
      </c>
      <c r="K12" s="15">
        <f>план!J11</f>
        <v>0</v>
      </c>
      <c r="L12" s="17">
        <f>Исполнение!I11</f>
        <v>0</v>
      </c>
      <c r="M12" s="22">
        <f>K12-L12</f>
        <v>0</v>
      </c>
      <c r="N12" s="15">
        <f>план!K11</f>
        <v>0</v>
      </c>
      <c r="O12" s="17">
        <f>Исполнение!J11</f>
        <v>0</v>
      </c>
      <c r="P12" s="22">
        <f>N12-O12</f>
        <v>0</v>
      </c>
      <c r="Q12" s="15">
        <f>план!L11</f>
        <v>0</v>
      </c>
      <c r="R12" s="17">
        <f>Исполнение!K11+Исполнение!L11</f>
        <v>0</v>
      </c>
      <c r="S12" s="22">
        <f>Q12-R12</f>
        <v>0</v>
      </c>
      <c r="T12" s="15">
        <f>план!N11</f>
        <v>0</v>
      </c>
      <c r="U12" s="17">
        <f>Исполнение!M11</f>
        <v>0</v>
      </c>
      <c r="V12" s="26">
        <f>T12-U12</f>
        <v>0</v>
      </c>
      <c r="W12" s="15">
        <f>план!O11</f>
        <v>0</v>
      </c>
      <c r="X12" s="17">
        <f>Исполнение!N11</f>
        <v>0</v>
      </c>
      <c r="Y12" s="22">
        <f>W12-X12</f>
        <v>0</v>
      </c>
      <c r="Z12" s="27">
        <f>план!P11+план!Q11</f>
        <v>0</v>
      </c>
      <c r="AA12" s="17">
        <f>Исполнение!O11+Исполнение!P11</f>
        <v>1306751.74</v>
      </c>
      <c r="AB12" s="18">
        <f>Z12-AA12</f>
        <v>-1306751.74</v>
      </c>
      <c r="AC12" s="15">
        <f>план!R11+план!S11</f>
        <v>0</v>
      </c>
      <c r="AD12" s="17">
        <f>Исполнение!Q11+Исполнение!R11</f>
        <v>358538.7</v>
      </c>
      <c r="AE12" s="18">
        <f>AC12-AD12</f>
        <v>-358538.7</v>
      </c>
      <c r="AF12" s="27">
        <f>план!T11</f>
        <v>0</v>
      </c>
      <c r="AG12" s="17">
        <f>Исполнение!S11</f>
        <v>0</v>
      </c>
      <c r="AH12" s="22">
        <f>AF12-AG12</f>
        <v>0</v>
      </c>
      <c r="AI12" s="15">
        <f>план!U11</f>
        <v>0</v>
      </c>
      <c r="AJ12" s="17">
        <f>Исполнение!T11</f>
        <v>0</v>
      </c>
      <c r="AK12" s="26">
        <f>AI12-AJ12</f>
        <v>0</v>
      </c>
      <c r="AL12" s="15">
        <f>E12+H12+K12+N12+Q12+T12+W12+Z12+AC12+AF12+AI12</f>
        <v>0</v>
      </c>
      <c r="AM12" s="17">
        <f>F12+I12+L12+O12+R12+U12+X12+AA12+AD12+AG12+AJ12</f>
        <v>1665290.44</v>
      </c>
      <c r="AN12" s="18">
        <f>G12+J12+M12+P12+S12+V12+Y12+AB12+AE12+AH12+AK12</f>
        <v>-1665290.44</v>
      </c>
      <c r="AO12" s="47">
        <f>AL12-AM12</f>
        <v>-1665290.44</v>
      </c>
      <c r="AP12" s="47">
        <f>AN12-AO12</f>
        <v>0</v>
      </c>
    </row>
    <row r="13" spans="1:42" s="16" customFormat="1" ht="21" customHeight="1">
      <c r="A13" s="21">
        <v>251</v>
      </c>
      <c r="B13" s="83">
        <f t="shared" si="11"/>
        <v>0</v>
      </c>
      <c r="C13" s="84">
        <f t="shared" si="12"/>
        <v>21220</v>
      </c>
      <c r="D13" s="85">
        <f t="shared" si="13"/>
        <v>-21220</v>
      </c>
      <c r="E13" s="27">
        <f>план!E12+план!F12</f>
        <v>0</v>
      </c>
      <c r="F13" s="17">
        <f>Исполнение!D12+Исполнение!E12</f>
        <v>0</v>
      </c>
      <c r="G13" s="26">
        <f t="shared" si="0"/>
        <v>0</v>
      </c>
      <c r="H13" s="15">
        <f>план!H12+план!I12</f>
        <v>0</v>
      </c>
      <c r="I13" s="17">
        <f>Исполнение!G12+Исполнение!H12</f>
        <v>0</v>
      </c>
      <c r="J13" s="22">
        <f t="shared" si="1"/>
        <v>0</v>
      </c>
      <c r="K13" s="15">
        <f>план!J12</f>
        <v>0</v>
      </c>
      <c r="L13" s="17">
        <f>Исполнение!I12</f>
        <v>21220</v>
      </c>
      <c r="M13" s="22">
        <f t="shared" si="2"/>
        <v>-21220</v>
      </c>
      <c r="N13" s="15">
        <f>план!K12</f>
        <v>0</v>
      </c>
      <c r="O13" s="17">
        <f>Исполнение!J12</f>
        <v>0</v>
      </c>
      <c r="P13" s="22">
        <f t="shared" si="3"/>
        <v>0</v>
      </c>
      <c r="Q13" s="15">
        <f>план!L12</f>
        <v>0</v>
      </c>
      <c r="R13" s="17">
        <f>Исполнение!K12+Исполнение!L12</f>
        <v>0</v>
      </c>
      <c r="S13" s="22">
        <f t="shared" si="4"/>
        <v>0</v>
      </c>
      <c r="T13" s="15">
        <f>план!N12</f>
        <v>0</v>
      </c>
      <c r="U13" s="17">
        <f>Исполнение!M12</f>
        <v>0</v>
      </c>
      <c r="V13" s="26">
        <f t="shared" si="5"/>
        <v>0</v>
      </c>
      <c r="W13" s="15">
        <f>план!O12</f>
        <v>0</v>
      </c>
      <c r="X13" s="17">
        <f>Исполнение!N12</f>
        <v>0</v>
      </c>
      <c r="Y13" s="22">
        <f t="shared" si="6"/>
        <v>0</v>
      </c>
      <c r="Z13" s="27">
        <f>план!P12+план!Q12</f>
        <v>0</v>
      </c>
      <c r="AA13" s="17">
        <f>Исполнение!O12+Исполнение!P12</f>
        <v>0</v>
      </c>
      <c r="AB13" s="18">
        <f t="shared" si="7"/>
        <v>0</v>
      </c>
      <c r="AC13" s="15">
        <f>план!R12+план!S12</f>
        <v>0</v>
      </c>
      <c r="AD13" s="17">
        <f>Исполнение!Q12+Исполнение!R12</f>
        <v>0</v>
      </c>
      <c r="AE13" s="22">
        <f t="shared" si="8"/>
        <v>0</v>
      </c>
      <c r="AF13" s="27">
        <f>план!T12</f>
        <v>0</v>
      </c>
      <c r="AG13" s="17">
        <f>Исполнение!S12</f>
        <v>0</v>
      </c>
      <c r="AH13" s="22">
        <f t="shared" si="9"/>
        <v>0</v>
      </c>
      <c r="AI13" s="15">
        <f>план!U12</f>
        <v>0</v>
      </c>
      <c r="AJ13" s="17">
        <f>Исполнение!T12</f>
        <v>0</v>
      </c>
      <c r="AK13" s="26">
        <f t="shared" si="10"/>
        <v>0</v>
      </c>
      <c r="AL13" s="15">
        <f t="shared" si="14"/>
        <v>0</v>
      </c>
      <c r="AM13" s="17">
        <f t="shared" si="15"/>
        <v>21220</v>
      </c>
      <c r="AN13" s="18">
        <f t="shared" si="16"/>
        <v>-21220</v>
      </c>
      <c r="AO13" s="47">
        <f t="shared" si="17"/>
        <v>-21220</v>
      </c>
      <c r="AP13" s="47">
        <f t="shared" si="18"/>
        <v>0</v>
      </c>
    </row>
    <row r="14" spans="1:42" s="16" customFormat="1" ht="21" customHeight="1">
      <c r="A14" s="21">
        <v>263</v>
      </c>
      <c r="B14" s="83">
        <f>AL14</f>
        <v>0</v>
      </c>
      <c r="C14" s="84">
        <f>AM14</f>
        <v>0</v>
      </c>
      <c r="D14" s="85">
        <f>AN14</f>
        <v>0</v>
      </c>
      <c r="E14" s="27">
        <f>план!E13+план!F13</f>
        <v>0</v>
      </c>
      <c r="F14" s="17">
        <f>Исполнение!D13+Исполнение!E13</f>
        <v>0</v>
      </c>
      <c r="G14" s="26">
        <f>E14-F14</f>
        <v>0</v>
      </c>
      <c r="H14" s="15">
        <f>план!H13+план!I13</f>
        <v>0</v>
      </c>
      <c r="I14" s="17">
        <f>Исполнение!G13+Исполнение!H13</f>
        <v>0</v>
      </c>
      <c r="J14" s="22">
        <f>H14-I14</f>
        <v>0</v>
      </c>
      <c r="K14" s="15">
        <f>план!J13</f>
        <v>0</v>
      </c>
      <c r="L14" s="17">
        <f>Исполнение!I13</f>
        <v>0</v>
      </c>
      <c r="M14" s="22">
        <f>K14-L14</f>
        <v>0</v>
      </c>
      <c r="N14" s="15">
        <f>план!K13</f>
        <v>0</v>
      </c>
      <c r="O14" s="17">
        <f>Исполнение!J13</f>
        <v>0</v>
      </c>
      <c r="P14" s="22">
        <f>N14-O14</f>
        <v>0</v>
      </c>
      <c r="Q14" s="15">
        <f>план!L13</f>
        <v>0</v>
      </c>
      <c r="R14" s="17">
        <f>Исполнение!K13+Исполнение!L13</f>
        <v>0</v>
      </c>
      <c r="S14" s="22">
        <f>Q14-R14</f>
        <v>0</v>
      </c>
      <c r="T14" s="15">
        <f>план!N13</f>
        <v>0</v>
      </c>
      <c r="U14" s="17">
        <f>Исполнение!M13</f>
        <v>0</v>
      </c>
      <c r="V14" s="26">
        <f>T14-U14</f>
        <v>0</v>
      </c>
      <c r="W14" s="15">
        <f>план!O13</f>
        <v>0</v>
      </c>
      <c r="X14" s="17">
        <f>Исполнение!N13</f>
        <v>0</v>
      </c>
      <c r="Y14" s="22">
        <f>W14-X14</f>
        <v>0</v>
      </c>
      <c r="Z14" s="27">
        <f>план!P13+план!Q13</f>
        <v>0</v>
      </c>
      <c r="AA14" s="17">
        <f>Исполнение!O13+Исполнение!P13</f>
        <v>0</v>
      </c>
      <c r="AB14" s="18">
        <f>Z14-AA14</f>
        <v>0</v>
      </c>
      <c r="AC14" s="15">
        <f>план!R13+план!S13</f>
        <v>0</v>
      </c>
      <c r="AD14" s="17">
        <f>Исполнение!Q13+Исполнение!R13</f>
        <v>0</v>
      </c>
      <c r="AE14" s="22">
        <f>AC14-AD14</f>
        <v>0</v>
      </c>
      <c r="AF14" s="27">
        <f>план!T13</f>
        <v>0</v>
      </c>
      <c r="AG14" s="17">
        <f>Исполнение!S13</f>
        <v>0</v>
      </c>
      <c r="AH14" s="22">
        <f>AF14-AG14</f>
        <v>0</v>
      </c>
      <c r="AI14" s="15">
        <f>план!U13</f>
        <v>0</v>
      </c>
      <c r="AJ14" s="17">
        <f>Исполнение!T13</f>
        <v>0</v>
      </c>
      <c r="AK14" s="26">
        <f>AI14-AJ14</f>
        <v>0</v>
      </c>
      <c r="AL14" s="15">
        <f>E14+H14+K14+N14+Q14+T14+W14+Z14+AC14+AF14+AI14</f>
        <v>0</v>
      </c>
      <c r="AM14" s="17">
        <f>F14+I14+L14+O14+R14+U14+X14+AA14+AD14+AG14+AJ14</f>
        <v>0</v>
      </c>
      <c r="AN14" s="18">
        <f>G14+J14+M14+P14+S14+V14+Y14+AB14+AE14+AH14+AK14</f>
        <v>0</v>
      </c>
      <c r="AO14" s="47">
        <f>AL14-AM14</f>
        <v>0</v>
      </c>
      <c r="AP14" s="47">
        <f>AN14-AO14</f>
        <v>0</v>
      </c>
    </row>
    <row r="15" spans="1:42" s="16" customFormat="1" ht="21" customHeight="1">
      <c r="A15" s="21">
        <v>290</v>
      </c>
      <c r="B15" s="83">
        <f t="shared" si="11"/>
        <v>0</v>
      </c>
      <c r="C15" s="84">
        <f t="shared" si="12"/>
        <v>2000</v>
      </c>
      <c r="D15" s="85">
        <f t="shared" si="13"/>
        <v>-2000</v>
      </c>
      <c r="E15" s="27">
        <f>план!E14+план!F14</f>
        <v>0</v>
      </c>
      <c r="F15" s="17">
        <f>Исполнение!D14+Исполнение!E14</f>
        <v>0</v>
      </c>
      <c r="G15" s="26">
        <f>E15-F15</f>
        <v>0</v>
      </c>
      <c r="H15" s="15">
        <f>план!H14+план!I14</f>
        <v>0</v>
      </c>
      <c r="I15" s="17">
        <f>Исполнение!G14+Исполнение!H14</f>
        <v>0</v>
      </c>
      <c r="J15" s="22">
        <f>H15-I15</f>
        <v>0</v>
      </c>
      <c r="K15" s="15">
        <f>план!J14</f>
        <v>0</v>
      </c>
      <c r="L15" s="17">
        <f>Исполнение!I14</f>
        <v>0</v>
      </c>
      <c r="M15" s="22">
        <f>K15-L15</f>
        <v>0</v>
      </c>
      <c r="N15" s="15">
        <f>план!K14</f>
        <v>0</v>
      </c>
      <c r="O15" s="17">
        <f>Исполнение!J14</f>
        <v>0</v>
      </c>
      <c r="P15" s="22">
        <f>N15-O15</f>
        <v>0</v>
      </c>
      <c r="Q15" s="15">
        <f>план!L14</f>
        <v>0</v>
      </c>
      <c r="R15" s="17">
        <f>Исполнение!K14+Исполнение!L14</f>
        <v>0</v>
      </c>
      <c r="S15" s="22">
        <f>Q15-R15</f>
        <v>0</v>
      </c>
      <c r="T15" s="15">
        <f>план!N14</f>
        <v>0</v>
      </c>
      <c r="U15" s="17">
        <f>Исполнение!M14</f>
        <v>0</v>
      </c>
      <c r="V15" s="26">
        <f>T15-U15</f>
        <v>0</v>
      </c>
      <c r="W15" s="15">
        <f>план!O14</f>
        <v>0</v>
      </c>
      <c r="X15" s="17">
        <f>Исполнение!N14</f>
        <v>0</v>
      </c>
      <c r="Y15" s="22">
        <f>W15-X15</f>
        <v>0</v>
      </c>
      <c r="Z15" s="27">
        <f>план!P14+план!Q14</f>
        <v>0</v>
      </c>
      <c r="AA15" s="17">
        <f>Исполнение!O14+Исполнение!P14</f>
        <v>0</v>
      </c>
      <c r="AB15" s="22">
        <f>Z15-AA15</f>
        <v>0</v>
      </c>
      <c r="AC15" s="15">
        <f>план!R14+план!S14</f>
        <v>0</v>
      </c>
      <c r="AD15" s="17">
        <f>Исполнение!Q14+Исполнение!R14</f>
        <v>0</v>
      </c>
      <c r="AE15" s="18">
        <f>AC15-AD15</f>
        <v>0</v>
      </c>
      <c r="AF15" s="27">
        <f>план!T14</f>
        <v>0</v>
      </c>
      <c r="AG15" s="17">
        <f>Исполнение!S14</f>
        <v>2000</v>
      </c>
      <c r="AH15" s="22">
        <f>AF15-AG15</f>
        <v>-2000</v>
      </c>
      <c r="AI15" s="15">
        <f>план!U14</f>
        <v>0</v>
      </c>
      <c r="AJ15" s="17">
        <f>Исполнение!T14</f>
        <v>0</v>
      </c>
      <c r="AK15" s="26">
        <f>AI15-AJ15</f>
        <v>0</v>
      </c>
      <c r="AL15" s="15">
        <f t="shared" si="14"/>
        <v>0</v>
      </c>
      <c r="AM15" s="17">
        <f t="shared" si="15"/>
        <v>2000</v>
      </c>
      <c r="AN15" s="18">
        <f t="shared" si="16"/>
        <v>-2000</v>
      </c>
      <c r="AO15" s="47">
        <f t="shared" si="17"/>
        <v>-2000</v>
      </c>
      <c r="AP15" s="47">
        <f t="shared" si="18"/>
        <v>0</v>
      </c>
    </row>
    <row r="16" spans="1:42" s="16" customFormat="1" ht="21" customHeight="1">
      <c r="A16" s="21">
        <v>310</v>
      </c>
      <c r="B16" s="83">
        <f t="shared" si="11"/>
        <v>0</v>
      </c>
      <c r="C16" s="84">
        <f t="shared" si="12"/>
        <v>506500</v>
      </c>
      <c r="D16" s="85">
        <f t="shared" si="13"/>
        <v>-506500</v>
      </c>
      <c r="E16" s="27">
        <f>план!E15+план!F15</f>
        <v>0</v>
      </c>
      <c r="F16" s="17">
        <f>Исполнение!D15+Исполнение!E15</f>
        <v>0</v>
      </c>
      <c r="G16" s="26">
        <f>E16-F16</f>
        <v>0</v>
      </c>
      <c r="H16" s="15">
        <f>план!H15+план!I15</f>
        <v>0</v>
      </c>
      <c r="I16" s="17">
        <f>Исполнение!G15+Исполнение!H15</f>
        <v>169500</v>
      </c>
      <c r="J16" s="22">
        <f>H16-I16</f>
        <v>-169500</v>
      </c>
      <c r="K16" s="15">
        <f>план!J15</f>
        <v>0</v>
      </c>
      <c r="L16" s="17">
        <f>Исполнение!I15</f>
        <v>0</v>
      </c>
      <c r="M16" s="22">
        <f>K16-L16</f>
        <v>0</v>
      </c>
      <c r="N16" s="15">
        <f>план!K15</f>
        <v>0</v>
      </c>
      <c r="O16" s="17">
        <f>Исполнение!J15</f>
        <v>0</v>
      </c>
      <c r="P16" s="22">
        <f>N16-O16</f>
        <v>0</v>
      </c>
      <c r="Q16" s="15">
        <f>план!L15</f>
        <v>0</v>
      </c>
      <c r="R16" s="17">
        <f>Исполнение!K15+Исполнение!L15</f>
        <v>0</v>
      </c>
      <c r="S16" s="22">
        <f>Q16-R16</f>
        <v>0</v>
      </c>
      <c r="T16" s="15">
        <f>план!N15</f>
        <v>0</v>
      </c>
      <c r="U16" s="17">
        <f>Исполнение!M15</f>
        <v>0</v>
      </c>
      <c r="V16" s="26">
        <f>T16-U16</f>
        <v>0</v>
      </c>
      <c r="W16" s="15">
        <f>план!O15</f>
        <v>0</v>
      </c>
      <c r="X16" s="17">
        <f>Исполнение!N15</f>
        <v>337000</v>
      </c>
      <c r="Y16" s="22">
        <f>W16-X16</f>
        <v>-337000</v>
      </c>
      <c r="Z16" s="27">
        <f>план!P15+план!Q15</f>
        <v>0</v>
      </c>
      <c r="AA16" s="17">
        <f>Исполнение!O15+Исполнение!P15</f>
        <v>0</v>
      </c>
      <c r="AB16" s="18">
        <f>Z16-AA16</f>
        <v>0</v>
      </c>
      <c r="AC16" s="15">
        <f>план!R15+план!S15</f>
        <v>0</v>
      </c>
      <c r="AD16" s="17">
        <f>Исполнение!Q15+Исполнение!R15</f>
        <v>0</v>
      </c>
      <c r="AE16" s="18">
        <f>AC16-AD16</f>
        <v>0</v>
      </c>
      <c r="AF16" s="27">
        <f>план!T15</f>
        <v>0</v>
      </c>
      <c r="AG16" s="17">
        <f>Исполнение!S15</f>
        <v>0</v>
      </c>
      <c r="AH16" s="22">
        <f>AF16-AG16</f>
        <v>0</v>
      </c>
      <c r="AI16" s="15">
        <f>план!U15</f>
        <v>0</v>
      </c>
      <c r="AJ16" s="17">
        <f>Исполнение!T15</f>
        <v>0</v>
      </c>
      <c r="AK16" s="26">
        <f>AI16-AJ16</f>
        <v>0</v>
      </c>
      <c r="AL16" s="15">
        <f t="shared" si="14"/>
        <v>0</v>
      </c>
      <c r="AM16" s="17">
        <f t="shared" si="15"/>
        <v>506500</v>
      </c>
      <c r="AN16" s="18">
        <f t="shared" si="16"/>
        <v>-506500</v>
      </c>
      <c r="AO16" s="47">
        <f t="shared" si="17"/>
        <v>-506500</v>
      </c>
      <c r="AP16" s="47">
        <f t="shared" si="18"/>
        <v>0</v>
      </c>
    </row>
    <row r="17" spans="1:42" s="16" customFormat="1" ht="21" customHeight="1" thickBot="1">
      <c r="A17" s="21">
        <v>340</v>
      </c>
      <c r="B17" s="67">
        <f t="shared" si="11"/>
        <v>0</v>
      </c>
      <c r="C17" s="61">
        <f t="shared" si="12"/>
        <v>187102.8</v>
      </c>
      <c r="D17" s="68">
        <f t="shared" si="13"/>
        <v>-187102.8</v>
      </c>
      <c r="E17" s="46">
        <f>план!E16+план!F16</f>
        <v>0</v>
      </c>
      <c r="F17" s="43">
        <f>Исполнение!D16+Исполнение!E16</f>
        <v>0</v>
      </c>
      <c r="G17" s="44">
        <f>E17-F17</f>
        <v>0</v>
      </c>
      <c r="H17" s="42">
        <f>план!H16+план!I16</f>
        <v>0</v>
      </c>
      <c r="I17" s="43">
        <f>Исполнение!G16+Исполнение!H16</f>
        <v>162448.8</v>
      </c>
      <c r="J17" s="45">
        <f>H17-I17</f>
        <v>-162448.8</v>
      </c>
      <c r="K17" s="42">
        <f>план!J16</f>
        <v>0</v>
      </c>
      <c r="L17" s="43">
        <f>Исполнение!I16</f>
        <v>0</v>
      </c>
      <c r="M17" s="45">
        <f>K17-L17</f>
        <v>0</v>
      </c>
      <c r="N17" s="42">
        <f>план!K16</f>
        <v>0</v>
      </c>
      <c r="O17" s="43">
        <f>Исполнение!J16</f>
        <v>3200</v>
      </c>
      <c r="P17" s="45">
        <f>N17-O17</f>
        <v>-3200</v>
      </c>
      <c r="Q17" s="42">
        <f>план!L16</f>
        <v>0</v>
      </c>
      <c r="R17" s="43">
        <f>Исполнение!K16+Исполнение!L16</f>
        <v>2604</v>
      </c>
      <c r="S17" s="45">
        <f>Q17-R17</f>
        <v>-2604</v>
      </c>
      <c r="T17" s="42">
        <f>план!N16</f>
        <v>0</v>
      </c>
      <c r="U17" s="43">
        <f>Исполнение!M16</f>
        <v>0</v>
      </c>
      <c r="V17" s="44">
        <f>T17-U17</f>
        <v>0</v>
      </c>
      <c r="W17" s="23">
        <f>план!O16</f>
        <v>0</v>
      </c>
      <c r="X17" s="24">
        <f>Исполнение!N16</f>
        <v>18850</v>
      </c>
      <c r="Y17" s="25">
        <f>W17-X17</f>
        <v>-18850</v>
      </c>
      <c r="Z17" s="37">
        <f>план!P16+план!Q16</f>
        <v>0</v>
      </c>
      <c r="AA17" s="24">
        <f>Исполнение!O16+Исполнение!P16</f>
        <v>0</v>
      </c>
      <c r="AB17" s="28">
        <f>Z17-AA17</f>
        <v>0</v>
      </c>
      <c r="AC17" s="23">
        <f>план!R16+план!S16</f>
        <v>0</v>
      </c>
      <c r="AD17" s="24">
        <f>Исполнение!Q16+Исполнение!R16</f>
        <v>0</v>
      </c>
      <c r="AE17" s="28">
        <f>AC17-AD17</f>
        <v>0</v>
      </c>
      <c r="AF17" s="46">
        <f>план!T16</f>
        <v>0</v>
      </c>
      <c r="AG17" s="43">
        <f>Исполнение!S16</f>
        <v>0</v>
      </c>
      <c r="AH17" s="45">
        <f>AF17-AG17</f>
        <v>0</v>
      </c>
      <c r="AI17" s="42">
        <f>план!U16</f>
        <v>0</v>
      </c>
      <c r="AJ17" s="43">
        <f>Исполнение!T16</f>
        <v>0</v>
      </c>
      <c r="AK17" s="44">
        <f>AI17-AJ17</f>
        <v>0</v>
      </c>
      <c r="AL17" s="23">
        <f t="shared" si="14"/>
        <v>0</v>
      </c>
      <c r="AM17" s="24">
        <f t="shared" si="15"/>
        <v>187102.8</v>
      </c>
      <c r="AN17" s="28">
        <f t="shared" si="16"/>
        <v>-187102.8</v>
      </c>
      <c r="AO17" s="47">
        <f t="shared" si="17"/>
        <v>-187102.8</v>
      </c>
      <c r="AP17" s="47">
        <f t="shared" si="18"/>
        <v>0</v>
      </c>
    </row>
    <row r="18" spans="1:40" s="89" customFormat="1" ht="21" customHeight="1" thickBot="1">
      <c r="A18" s="86"/>
      <c r="B18" s="87">
        <f aca="true" t="shared" si="19" ref="B18:AN18">B4+B5+B6+B7+B8+B9+B10+B11+B12+B13+B14+B15+B16+B17</f>
        <v>1728873</v>
      </c>
      <c r="C18" s="87">
        <f t="shared" si="19"/>
        <v>5120658.3</v>
      </c>
      <c r="D18" s="87">
        <f t="shared" si="19"/>
        <v>-3391785.3</v>
      </c>
      <c r="E18" s="87">
        <f t="shared" si="19"/>
        <v>448560</v>
      </c>
      <c r="F18" s="87">
        <f t="shared" si="19"/>
        <v>371500</v>
      </c>
      <c r="G18" s="87">
        <f t="shared" si="19"/>
        <v>77060</v>
      </c>
      <c r="H18" s="87">
        <f t="shared" si="19"/>
        <v>1280313</v>
      </c>
      <c r="I18" s="87">
        <f t="shared" si="19"/>
        <v>1787299.57</v>
      </c>
      <c r="J18" s="87">
        <f t="shared" si="19"/>
        <v>-506986.57</v>
      </c>
      <c r="K18" s="87">
        <f t="shared" si="19"/>
        <v>0</v>
      </c>
      <c r="L18" s="87">
        <f t="shared" si="19"/>
        <v>44220</v>
      </c>
      <c r="M18" s="87">
        <f t="shared" si="19"/>
        <v>-44220</v>
      </c>
      <c r="N18" s="87">
        <f t="shared" si="19"/>
        <v>0</v>
      </c>
      <c r="O18" s="87">
        <f t="shared" si="19"/>
        <v>3200</v>
      </c>
      <c r="P18" s="87">
        <f t="shared" si="19"/>
        <v>-3200</v>
      </c>
      <c r="Q18" s="87">
        <f t="shared" si="19"/>
        <v>0</v>
      </c>
      <c r="R18" s="87">
        <f t="shared" si="19"/>
        <v>53650</v>
      </c>
      <c r="S18" s="87">
        <f t="shared" si="19"/>
        <v>-53650</v>
      </c>
      <c r="T18" s="87">
        <f t="shared" si="19"/>
        <v>0</v>
      </c>
      <c r="U18" s="87">
        <f t="shared" si="19"/>
        <v>60700</v>
      </c>
      <c r="V18" s="87">
        <f t="shared" si="19"/>
        <v>-60700</v>
      </c>
      <c r="W18" s="87">
        <f t="shared" si="19"/>
        <v>0</v>
      </c>
      <c r="X18" s="87">
        <f t="shared" si="19"/>
        <v>1104798.29</v>
      </c>
      <c r="Y18" s="87">
        <f t="shared" si="19"/>
        <v>-1104798.29</v>
      </c>
      <c r="Z18" s="87">
        <f t="shared" si="19"/>
        <v>0</v>
      </c>
      <c r="AA18" s="87">
        <f t="shared" si="19"/>
        <v>1306751.74</v>
      </c>
      <c r="AB18" s="87">
        <f t="shared" si="19"/>
        <v>-1306751.74</v>
      </c>
      <c r="AC18" s="87">
        <f t="shared" si="19"/>
        <v>0</v>
      </c>
      <c r="AD18" s="87">
        <f t="shared" si="19"/>
        <v>358538.7</v>
      </c>
      <c r="AE18" s="87">
        <f t="shared" si="19"/>
        <v>-358538.7</v>
      </c>
      <c r="AF18" s="87">
        <f t="shared" si="19"/>
        <v>0</v>
      </c>
      <c r="AG18" s="87">
        <f t="shared" si="19"/>
        <v>2000</v>
      </c>
      <c r="AH18" s="87">
        <f t="shared" si="19"/>
        <v>-2000</v>
      </c>
      <c r="AI18" s="87">
        <f t="shared" si="19"/>
        <v>0</v>
      </c>
      <c r="AJ18" s="87">
        <f t="shared" si="19"/>
        <v>28000</v>
      </c>
      <c r="AK18" s="87">
        <f t="shared" si="19"/>
        <v>-28000</v>
      </c>
      <c r="AL18" s="87">
        <f t="shared" si="19"/>
        <v>1728873</v>
      </c>
      <c r="AM18" s="87">
        <f t="shared" si="19"/>
        <v>5120658.3</v>
      </c>
      <c r="AN18" s="88">
        <f t="shared" si="19"/>
        <v>-3391785.3</v>
      </c>
    </row>
    <row r="19" spans="1:40" s="14" customFormat="1" ht="12.75">
      <c r="A19" s="1"/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14" customFormat="1" ht="12.75">
      <c r="A20" s="1"/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</sheetData>
  <sheetProtection/>
  <mergeCells count="29">
    <mergeCell ref="E2:G2"/>
    <mergeCell ref="EK1:EZ1"/>
    <mergeCell ref="FA1:FP1"/>
    <mergeCell ref="DU1:EJ1"/>
    <mergeCell ref="W2:Y2"/>
    <mergeCell ref="Z2:AB2"/>
    <mergeCell ref="AS1:BH1"/>
    <mergeCell ref="BI1:BX1"/>
    <mergeCell ref="BY1:CN1"/>
    <mergeCell ref="CO1:DD1"/>
    <mergeCell ref="AH1:AR1"/>
    <mergeCell ref="R1:AG1"/>
    <mergeCell ref="AL2:AN2"/>
    <mergeCell ref="IC1:IR1"/>
    <mergeCell ref="FQ1:GF1"/>
    <mergeCell ref="GG1:GV1"/>
    <mergeCell ref="GW1:HL1"/>
    <mergeCell ref="HM1:IB1"/>
    <mergeCell ref="AC2:AE2"/>
    <mergeCell ref="H2:J2"/>
    <mergeCell ref="Q2:S2"/>
    <mergeCell ref="T2:V2"/>
    <mergeCell ref="DE1:DT1"/>
    <mergeCell ref="A1:Q1"/>
    <mergeCell ref="B2:D2"/>
    <mergeCell ref="K2:M2"/>
    <mergeCell ref="N2:P2"/>
    <mergeCell ref="AF2:AH2"/>
    <mergeCell ref="AI2:AK2"/>
  </mergeCells>
  <conditionalFormatting sqref="K2:L2 AI2 AC2:AD2 A12:IV65536 W2:X2 Q2:R2 Z2:AA2 T2:U2 B2:C3 B1:D1 D3 J3:AE11 AM3:AN11 B4:D11 A1:A11 AH3:AK11 AF1:AG11 H2:I11 E2:F11 AO2:AR11 G3:G11 AL2:AL11 AS1:IV11 N2:O2">
    <cfRule type="cellIs" priority="1" dxfId="0" operator="equal" stopIfTrue="1">
      <formula>0</formula>
    </cfRule>
  </conditionalFormatting>
  <printOptions/>
  <pageMargins left="0.23" right="0.21" top="1" bottom="1" header="0.5" footer="0.5"/>
  <pageSetup horizontalDpi="600" verticalDpi="600" orientation="landscape" paperSize="9" scale="79" r:id="rId1"/>
  <colBreaks count="4" manualBreakCount="4">
    <brk id="13" max="17" man="1"/>
    <brk id="25" max="65535" man="1"/>
    <brk id="37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" sqref="N3:U16"/>
    </sheetView>
  </sheetViews>
  <sheetFormatPr defaultColWidth="9.140625" defaultRowHeight="12.75"/>
  <cols>
    <col min="1" max="1" width="9.28125" style="6" bestFit="1" customWidth="1"/>
    <col min="2" max="2" width="12.8515625" style="6" customWidth="1"/>
    <col min="3" max="3" width="14.57421875" style="6" hidden="1" customWidth="1"/>
    <col min="4" max="4" width="13.00390625" style="78" customWidth="1"/>
    <col min="5" max="5" width="11.28125" style="1" customWidth="1"/>
    <col min="6" max="6" width="11.140625" style="1" customWidth="1"/>
    <col min="7" max="7" width="11.00390625" style="1" hidden="1" customWidth="1"/>
    <col min="8" max="8" width="12.7109375" style="1" customWidth="1"/>
    <col min="9" max="9" width="9.8515625" style="1" customWidth="1"/>
    <col min="10" max="10" width="12.140625" style="1" customWidth="1"/>
    <col min="11" max="11" width="9.8515625" style="1" customWidth="1"/>
    <col min="12" max="12" width="10.421875" style="1" customWidth="1"/>
    <col min="13" max="14" width="11.00390625" style="1" customWidth="1"/>
    <col min="15" max="15" width="13.28125" style="1" customWidth="1"/>
    <col min="16" max="16" width="12.7109375" style="1" customWidth="1"/>
    <col min="17" max="17" width="12.28125" style="1" customWidth="1"/>
    <col min="18" max="18" width="12.140625" style="1" customWidth="1"/>
    <col min="19" max="19" width="11.00390625" style="1" customWidth="1"/>
    <col min="20" max="21" width="14.140625" style="1" customWidth="1"/>
    <col min="22" max="22" width="13.7109375" style="1" customWidth="1"/>
    <col min="23" max="23" width="14.140625" style="1" customWidth="1"/>
    <col min="24" max="24" width="11.57421875" style="1" customWidth="1"/>
    <col min="25" max="25" width="13.8515625" style="1" customWidth="1"/>
    <col min="26" max="16384" width="9.140625" style="1" customWidth="1"/>
  </cols>
  <sheetData>
    <row r="1" spans="1:23" ht="13.5" thickBot="1">
      <c r="A1" s="5"/>
      <c r="B1" s="94" t="s">
        <v>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/>
      <c r="U1" s="38"/>
      <c r="V1" s="2"/>
      <c r="W1" s="2"/>
    </row>
    <row r="2" spans="1:24" s="9" customFormat="1" ht="63.75">
      <c r="A2" s="30"/>
      <c r="B2" s="49" t="s">
        <v>16</v>
      </c>
      <c r="C2" s="50" t="s">
        <v>6</v>
      </c>
      <c r="D2" s="74" t="s">
        <v>28</v>
      </c>
      <c r="E2" s="91" t="s">
        <v>5</v>
      </c>
      <c r="F2" s="92"/>
      <c r="G2" s="3" t="s">
        <v>5</v>
      </c>
      <c r="H2" s="93" t="s">
        <v>0</v>
      </c>
      <c r="I2" s="92"/>
      <c r="J2" s="7" t="s">
        <v>33</v>
      </c>
      <c r="K2" s="41" t="s">
        <v>29</v>
      </c>
      <c r="L2" s="93" t="s">
        <v>1</v>
      </c>
      <c r="M2" s="92"/>
      <c r="N2" s="19" t="s">
        <v>18</v>
      </c>
      <c r="O2" s="3" t="s">
        <v>4</v>
      </c>
      <c r="P2" s="93" t="s">
        <v>2</v>
      </c>
      <c r="Q2" s="92"/>
      <c r="R2" s="93" t="s">
        <v>3</v>
      </c>
      <c r="S2" s="92"/>
      <c r="T2" s="7" t="s">
        <v>32</v>
      </c>
      <c r="U2" s="7" t="s">
        <v>26</v>
      </c>
      <c r="V2" s="3" t="s">
        <v>16</v>
      </c>
      <c r="W2" s="8" t="s">
        <v>6</v>
      </c>
      <c r="X2" s="9" t="s">
        <v>14</v>
      </c>
    </row>
    <row r="3" spans="1:25" ht="19.5" customHeight="1">
      <c r="A3" s="21">
        <v>211</v>
      </c>
      <c r="B3" s="32">
        <f aca="true" t="shared" si="0" ref="B3:B16">V3</f>
        <v>1348721</v>
      </c>
      <c r="C3" s="32">
        <f aca="true" t="shared" si="1" ref="C3:C16">W3</f>
        <v>1198245</v>
      </c>
      <c r="D3" s="75">
        <f aca="true" t="shared" si="2" ref="D3:D17">E3+F3+H3+I3+K3+L3</f>
        <v>1348721</v>
      </c>
      <c r="E3" s="2">
        <v>176650</v>
      </c>
      <c r="F3" s="2">
        <f>14100+94550</f>
        <v>108650</v>
      </c>
      <c r="G3" s="2"/>
      <c r="H3" s="2">
        <f>653395+368200</f>
        <v>1021595</v>
      </c>
      <c r="I3" s="2"/>
      <c r="J3" s="2"/>
      <c r="K3" s="2"/>
      <c r="L3" s="2">
        <v>41826</v>
      </c>
      <c r="M3" s="2"/>
      <c r="N3" s="2"/>
      <c r="O3" s="2"/>
      <c r="P3" s="2"/>
      <c r="Q3" s="2"/>
      <c r="R3" s="2"/>
      <c r="S3" s="2"/>
      <c r="T3" s="2"/>
      <c r="U3" s="2"/>
      <c r="V3" s="3">
        <f aca="true" t="shared" si="3" ref="V3:V16">E3+F3+H3+I3+J3+K3+L3+M3+N3+O3+P3+Q3+R3+S3+T3+U3</f>
        <v>1348721</v>
      </c>
      <c r="W3" s="2">
        <f aca="true" t="shared" si="4" ref="W3:W16">E3+G3+H3+O3+P3+R3+T3+N3+J3+K3+U3</f>
        <v>1198245</v>
      </c>
      <c r="X3" s="1">
        <f aca="true" t="shared" si="5" ref="X3:X12">F3+I3+Q3+S3</f>
        <v>108650</v>
      </c>
      <c r="Y3" s="1">
        <f aca="true" t="shared" si="6" ref="Y3:Y8">V3-X3-L3</f>
        <v>1198245</v>
      </c>
    </row>
    <row r="4" spans="1:25" ht="22.5" customHeight="1">
      <c r="A4" s="21">
        <v>212</v>
      </c>
      <c r="B4" s="32">
        <f t="shared" si="0"/>
        <v>2400</v>
      </c>
      <c r="C4" s="32">
        <f t="shared" si="1"/>
        <v>2400</v>
      </c>
      <c r="D4" s="75">
        <f t="shared" si="2"/>
        <v>2400</v>
      </c>
      <c r="E4" s="2"/>
      <c r="F4" s="2"/>
      <c r="G4" s="2"/>
      <c r="H4" s="2">
        <v>2400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>
        <f t="shared" si="3"/>
        <v>2400</v>
      </c>
      <c r="W4" s="2">
        <f t="shared" si="4"/>
        <v>2400</v>
      </c>
      <c r="X4" s="1">
        <f t="shared" si="5"/>
        <v>0</v>
      </c>
      <c r="Y4" s="1">
        <f t="shared" si="6"/>
        <v>2400</v>
      </c>
    </row>
    <row r="5" spans="1:25" ht="17.25" customHeight="1">
      <c r="A5" s="21">
        <v>213</v>
      </c>
      <c r="B5" s="32">
        <f t="shared" si="0"/>
        <v>404015</v>
      </c>
      <c r="C5" s="32">
        <f t="shared" si="1"/>
        <v>361945</v>
      </c>
      <c r="D5" s="75">
        <f t="shared" si="2"/>
        <v>404015</v>
      </c>
      <c r="E5" s="2">
        <v>53350</v>
      </c>
      <c r="F5" s="2">
        <f>4300+28550</f>
        <v>32850</v>
      </c>
      <c r="G5" s="2"/>
      <c r="H5" s="2">
        <f>197325+111270</f>
        <v>308595</v>
      </c>
      <c r="I5" s="2"/>
      <c r="J5" s="2"/>
      <c r="K5" s="2"/>
      <c r="L5" s="2">
        <v>9220</v>
      </c>
      <c r="M5" s="2"/>
      <c r="N5" s="2"/>
      <c r="O5" s="2"/>
      <c r="P5" s="2"/>
      <c r="Q5" s="2"/>
      <c r="R5" s="2"/>
      <c r="S5" s="2"/>
      <c r="T5" s="2"/>
      <c r="U5" s="2"/>
      <c r="V5" s="3">
        <f t="shared" si="3"/>
        <v>404015</v>
      </c>
      <c r="W5" s="2">
        <f t="shared" si="4"/>
        <v>361945</v>
      </c>
      <c r="X5" s="1">
        <f t="shared" si="5"/>
        <v>32850</v>
      </c>
      <c r="Y5" s="1">
        <f t="shared" si="6"/>
        <v>361945</v>
      </c>
    </row>
    <row r="6" spans="1:25" ht="18.75" customHeight="1">
      <c r="A6" s="21">
        <v>221</v>
      </c>
      <c r="B6" s="32">
        <f t="shared" si="0"/>
        <v>56000</v>
      </c>
      <c r="C6" s="32">
        <f t="shared" si="1"/>
        <v>56000</v>
      </c>
      <c r="D6" s="75">
        <f t="shared" si="2"/>
        <v>56000</v>
      </c>
      <c r="E6" s="2"/>
      <c r="F6" s="2"/>
      <c r="G6" s="2"/>
      <c r="H6" s="2">
        <v>56000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>
        <f t="shared" si="3"/>
        <v>56000</v>
      </c>
      <c r="W6" s="2">
        <f t="shared" si="4"/>
        <v>56000</v>
      </c>
      <c r="X6" s="1">
        <f t="shared" si="5"/>
        <v>0</v>
      </c>
      <c r="Y6" s="1">
        <f t="shared" si="6"/>
        <v>56000</v>
      </c>
    </row>
    <row r="7" spans="1:25" ht="18.75" customHeight="1">
      <c r="A7" s="21">
        <v>222</v>
      </c>
      <c r="B7" s="32">
        <f t="shared" si="0"/>
        <v>15080</v>
      </c>
      <c r="C7" s="32">
        <f t="shared" si="1"/>
        <v>15080</v>
      </c>
      <c r="D7" s="75">
        <f t="shared" si="2"/>
        <v>15080</v>
      </c>
      <c r="E7" s="2"/>
      <c r="F7" s="2"/>
      <c r="G7" s="2"/>
      <c r="H7" s="2">
        <v>15080</v>
      </c>
      <c r="I7" s="2"/>
      <c r="J7" s="2"/>
      <c r="K7" s="2"/>
      <c r="L7" s="2"/>
      <c r="M7" s="2"/>
      <c r="N7" s="2"/>
      <c r="O7" s="79"/>
      <c r="P7" s="2"/>
      <c r="Q7" s="2"/>
      <c r="R7" s="2"/>
      <c r="S7" s="2"/>
      <c r="T7" s="2"/>
      <c r="U7" s="2"/>
      <c r="V7" s="3">
        <f t="shared" si="3"/>
        <v>15080</v>
      </c>
      <c r="W7" s="2">
        <f t="shared" si="4"/>
        <v>15080</v>
      </c>
      <c r="X7" s="1">
        <f t="shared" si="5"/>
        <v>0</v>
      </c>
      <c r="Y7" s="1">
        <f t="shared" si="6"/>
        <v>15080</v>
      </c>
    </row>
    <row r="8" spans="1:25" ht="15.75" customHeight="1">
      <c r="A8" s="21">
        <v>223</v>
      </c>
      <c r="B8" s="32">
        <f t="shared" si="0"/>
        <v>7480</v>
      </c>
      <c r="C8" s="32">
        <f t="shared" si="1"/>
        <v>7480</v>
      </c>
      <c r="D8" s="75">
        <f t="shared" si="2"/>
        <v>7480</v>
      </c>
      <c r="E8" s="2"/>
      <c r="F8" s="2"/>
      <c r="G8" s="2"/>
      <c r="H8" s="2">
        <v>7480</v>
      </c>
      <c r="I8" s="2"/>
      <c r="J8" s="2"/>
      <c r="K8" s="2"/>
      <c r="L8" s="2"/>
      <c r="M8" s="2"/>
      <c r="N8" s="2"/>
      <c r="O8" s="79"/>
      <c r="P8" s="2"/>
      <c r="Q8" s="2"/>
      <c r="R8" s="2"/>
      <c r="S8" s="2"/>
      <c r="T8" s="2"/>
      <c r="U8" s="2"/>
      <c r="V8" s="3">
        <f t="shared" si="3"/>
        <v>7480</v>
      </c>
      <c r="W8" s="2">
        <f t="shared" si="4"/>
        <v>7480</v>
      </c>
      <c r="X8" s="1">
        <f t="shared" si="5"/>
        <v>0</v>
      </c>
      <c r="Y8" s="1">
        <f t="shared" si="6"/>
        <v>7480</v>
      </c>
    </row>
    <row r="9" spans="1:25" ht="15.75" customHeight="1">
      <c r="A9" s="21">
        <v>225</v>
      </c>
      <c r="B9" s="32">
        <f t="shared" si="0"/>
        <v>13000</v>
      </c>
      <c r="C9" s="32">
        <f t="shared" si="1"/>
        <v>13000</v>
      </c>
      <c r="D9" s="75">
        <f t="shared" si="2"/>
        <v>13000</v>
      </c>
      <c r="E9" s="2"/>
      <c r="F9" s="2"/>
      <c r="G9" s="2"/>
      <c r="H9" s="2">
        <v>13000</v>
      </c>
      <c r="I9" s="2"/>
      <c r="J9" s="2"/>
      <c r="K9" s="2"/>
      <c r="L9" s="2"/>
      <c r="M9" s="2"/>
      <c r="N9" s="2"/>
      <c r="O9" s="79"/>
      <c r="P9" s="2"/>
      <c r="Q9" s="2"/>
      <c r="R9" s="2"/>
      <c r="S9" s="2"/>
      <c r="T9" s="2"/>
      <c r="U9" s="2"/>
      <c r="V9" s="3">
        <f t="shared" si="3"/>
        <v>13000</v>
      </c>
      <c r="W9" s="2">
        <f t="shared" si="4"/>
        <v>13000</v>
      </c>
      <c r="X9" s="1">
        <f t="shared" si="5"/>
        <v>0</v>
      </c>
      <c r="Y9" s="1">
        <f>V9-X9-L9-16997</f>
        <v>-3997</v>
      </c>
    </row>
    <row r="10" spans="1:25" ht="18" customHeight="1">
      <c r="A10" s="21">
        <v>226</v>
      </c>
      <c r="B10" s="32">
        <f t="shared" si="0"/>
        <v>114904.87</v>
      </c>
      <c r="C10" s="32">
        <f t="shared" si="1"/>
        <v>114904.87</v>
      </c>
      <c r="D10" s="75">
        <f t="shared" si="2"/>
        <v>114904.87</v>
      </c>
      <c r="E10" s="2"/>
      <c r="F10" s="2"/>
      <c r="G10" s="2"/>
      <c r="H10" s="2">
        <v>91904.87</v>
      </c>
      <c r="I10" s="2"/>
      <c r="J10" s="2"/>
      <c r="K10" s="2">
        <v>23000</v>
      </c>
      <c r="L10" s="2"/>
      <c r="M10" s="2"/>
      <c r="N10" s="2"/>
      <c r="O10" s="79"/>
      <c r="P10" s="2"/>
      <c r="Q10" s="2"/>
      <c r="R10" s="2"/>
      <c r="S10" s="2"/>
      <c r="T10" s="2"/>
      <c r="U10" s="2"/>
      <c r="V10" s="3">
        <f t="shared" si="3"/>
        <v>114904.87</v>
      </c>
      <c r="W10" s="2">
        <f t="shared" si="4"/>
        <v>114904.87</v>
      </c>
      <c r="X10" s="1">
        <f t="shared" si="5"/>
        <v>0</v>
      </c>
      <c r="Y10" s="1">
        <f>V10-X10-L10</f>
        <v>114904.87</v>
      </c>
    </row>
    <row r="11" spans="1:24" ht="15.75" customHeight="1">
      <c r="A11" s="21">
        <v>241</v>
      </c>
      <c r="B11" s="32">
        <f t="shared" si="0"/>
        <v>0</v>
      </c>
      <c r="C11" s="32">
        <f t="shared" si="1"/>
        <v>0</v>
      </c>
      <c r="D11" s="75">
        <f t="shared" si="2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79"/>
      <c r="P11" s="2"/>
      <c r="Q11" s="2"/>
      <c r="R11" s="2"/>
      <c r="S11" s="2"/>
      <c r="T11" s="2"/>
      <c r="U11" s="2"/>
      <c r="V11" s="3">
        <f t="shared" si="3"/>
        <v>0</v>
      </c>
      <c r="W11" s="2">
        <f t="shared" si="4"/>
        <v>0</v>
      </c>
      <c r="X11" s="1">
        <f t="shared" si="5"/>
        <v>0</v>
      </c>
    </row>
    <row r="12" spans="1:24" ht="15.75" customHeight="1">
      <c r="A12" s="21">
        <v>251</v>
      </c>
      <c r="B12" s="32">
        <f t="shared" si="0"/>
        <v>21220</v>
      </c>
      <c r="C12" s="32">
        <f t="shared" si="1"/>
        <v>21220</v>
      </c>
      <c r="D12" s="75">
        <f t="shared" si="2"/>
        <v>0</v>
      </c>
      <c r="E12" s="2"/>
      <c r="F12" s="2"/>
      <c r="G12" s="2"/>
      <c r="H12" s="2"/>
      <c r="I12" s="2"/>
      <c r="J12" s="2">
        <v>21220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>
        <f t="shared" si="3"/>
        <v>21220</v>
      </c>
      <c r="W12" s="2">
        <f t="shared" si="4"/>
        <v>21220</v>
      </c>
      <c r="X12" s="1">
        <f t="shared" si="5"/>
        <v>0</v>
      </c>
    </row>
    <row r="13" spans="1:23" ht="15.75" customHeight="1">
      <c r="A13" s="21">
        <v>263</v>
      </c>
      <c r="B13" s="32">
        <f t="shared" si="0"/>
        <v>0</v>
      </c>
      <c r="C13" s="32">
        <f t="shared" si="1"/>
        <v>0</v>
      </c>
      <c r="D13" s="75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f t="shared" si="3"/>
        <v>0</v>
      </c>
      <c r="W13" s="2">
        <f t="shared" si="4"/>
        <v>0</v>
      </c>
    </row>
    <row r="14" spans="1:25" ht="21.75" customHeight="1">
      <c r="A14" s="21">
        <v>290</v>
      </c>
      <c r="B14" s="32">
        <f t="shared" si="0"/>
        <v>1000</v>
      </c>
      <c r="C14" s="32">
        <f t="shared" si="1"/>
        <v>1000</v>
      </c>
      <c r="D14" s="75">
        <f t="shared" si="2"/>
        <v>1000</v>
      </c>
      <c r="E14" s="2"/>
      <c r="F14" s="2"/>
      <c r="G14" s="2"/>
      <c r="H14" s="2">
        <v>1000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>
        <f t="shared" si="3"/>
        <v>1000</v>
      </c>
      <c r="W14" s="2">
        <f t="shared" si="4"/>
        <v>1000</v>
      </c>
      <c r="X14" s="1">
        <f>F14+I14+Q14+S14</f>
        <v>0</v>
      </c>
      <c r="Y14" s="1">
        <f>V14-X14-L14</f>
        <v>1000</v>
      </c>
    </row>
    <row r="15" spans="1:25" ht="18.75" customHeight="1">
      <c r="A15" s="21">
        <v>310</v>
      </c>
      <c r="B15" s="32">
        <f t="shared" si="0"/>
        <v>169500</v>
      </c>
      <c r="C15" s="32">
        <f t="shared" si="1"/>
        <v>169500</v>
      </c>
      <c r="D15" s="75">
        <f t="shared" si="2"/>
        <v>169500</v>
      </c>
      <c r="E15" s="2"/>
      <c r="F15" s="2"/>
      <c r="G15" s="2"/>
      <c r="H15" s="2">
        <f>70000+99500</f>
        <v>169500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>
        <f t="shared" si="3"/>
        <v>169500</v>
      </c>
      <c r="W15" s="2">
        <f t="shared" si="4"/>
        <v>169500</v>
      </c>
      <c r="X15" s="1">
        <f>F15+I15+Q15+S15</f>
        <v>0</v>
      </c>
      <c r="Y15" s="1">
        <f>V15-X15-L15-118000</f>
        <v>51500</v>
      </c>
    </row>
    <row r="16" spans="1:25" ht="21" customHeight="1">
      <c r="A16" s="21">
        <v>340</v>
      </c>
      <c r="B16" s="32">
        <f t="shared" si="0"/>
        <v>168254</v>
      </c>
      <c r="C16" s="32">
        <f t="shared" si="1"/>
        <v>165650</v>
      </c>
      <c r="D16" s="75">
        <f t="shared" si="2"/>
        <v>168254</v>
      </c>
      <c r="E16" s="2"/>
      <c r="F16" s="2"/>
      <c r="G16" s="2"/>
      <c r="H16" s="2">
        <v>162450</v>
      </c>
      <c r="I16" s="2"/>
      <c r="J16" s="2"/>
      <c r="K16" s="2">
        <v>3200</v>
      </c>
      <c r="L16" s="2">
        <v>2604</v>
      </c>
      <c r="M16" s="2"/>
      <c r="N16" s="2"/>
      <c r="O16" s="2"/>
      <c r="P16" s="2"/>
      <c r="Q16" s="2"/>
      <c r="R16" s="2"/>
      <c r="S16" s="2"/>
      <c r="T16" s="2"/>
      <c r="U16" s="2"/>
      <c r="V16" s="3">
        <f t="shared" si="3"/>
        <v>168254</v>
      </c>
      <c r="W16" s="2">
        <f t="shared" si="4"/>
        <v>165650</v>
      </c>
      <c r="X16" s="1">
        <f>F16+I16+Q16+S16</f>
        <v>0</v>
      </c>
      <c r="Y16" s="1">
        <f>V16-X16-L16</f>
        <v>165650</v>
      </c>
    </row>
    <row r="17" spans="1:25" ht="15" customHeight="1">
      <c r="A17" s="21"/>
      <c r="B17" s="32">
        <f>B3+B4+B5+B6+B7+B8+B9+B10+B11+B12+B13+B14+B15+B16</f>
        <v>2321574.87</v>
      </c>
      <c r="C17" s="32">
        <f>C3+C4+C5+C6+C7+C8+C9+C10+C11+C12+C13+C14+C15+C16</f>
        <v>2126424.87</v>
      </c>
      <c r="D17" s="75">
        <f t="shared" si="2"/>
        <v>2300354.87</v>
      </c>
      <c r="E17" s="4">
        <f aca="true" t="shared" si="7" ref="E17:Y17">SUM(E3:E16)</f>
        <v>230000</v>
      </c>
      <c r="F17" s="4">
        <f t="shared" si="7"/>
        <v>141500</v>
      </c>
      <c r="G17" s="4">
        <f t="shared" si="7"/>
        <v>0</v>
      </c>
      <c r="H17" s="4">
        <f t="shared" si="7"/>
        <v>1849004.87</v>
      </c>
      <c r="I17" s="4">
        <f t="shared" si="7"/>
        <v>0</v>
      </c>
      <c r="J17" s="4">
        <f t="shared" si="7"/>
        <v>21220</v>
      </c>
      <c r="K17" s="4">
        <f t="shared" si="7"/>
        <v>26200</v>
      </c>
      <c r="L17" s="4">
        <f t="shared" si="7"/>
        <v>53650</v>
      </c>
      <c r="M17" s="4">
        <f t="shared" si="7"/>
        <v>0</v>
      </c>
      <c r="N17" s="4">
        <f t="shared" si="7"/>
        <v>0</v>
      </c>
      <c r="O17" s="4">
        <f t="shared" si="7"/>
        <v>0</v>
      </c>
      <c r="P17" s="4">
        <f t="shared" si="7"/>
        <v>0</v>
      </c>
      <c r="Q17" s="4">
        <f t="shared" si="7"/>
        <v>0</v>
      </c>
      <c r="R17" s="4">
        <f t="shared" si="7"/>
        <v>0</v>
      </c>
      <c r="S17" s="4">
        <f t="shared" si="7"/>
        <v>0</v>
      </c>
      <c r="T17" s="4">
        <f t="shared" si="7"/>
        <v>0</v>
      </c>
      <c r="U17" s="4">
        <f t="shared" si="7"/>
        <v>0</v>
      </c>
      <c r="V17" s="4">
        <f t="shared" si="7"/>
        <v>2321574.87</v>
      </c>
      <c r="W17" s="4">
        <f t="shared" si="7"/>
        <v>2126424.87</v>
      </c>
      <c r="X17" s="4">
        <f t="shared" si="7"/>
        <v>141500</v>
      </c>
      <c r="Y17" s="4">
        <f t="shared" si="7"/>
        <v>1970207.87</v>
      </c>
    </row>
    <row r="18" spans="1:22" s="12" customFormat="1" ht="13.5" customHeight="1">
      <c r="A18" s="33"/>
      <c r="B18" s="34">
        <f>SUM(B3:B16)</f>
        <v>2321574.87</v>
      </c>
      <c r="C18" s="34">
        <f>SUM(C3:C16)</f>
        <v>2126424.87</v>
      </c>
      <c r="D18" s="76"/>
      <c r="E18" s="90">
        <f>E17+F17</f>
        <v>371500</v>
      </c>
      <c r="F18" s="90"/>
      <c r="G18" s="12">
        <f>G19*26.2%</f>
        <v>0</v>
      </c>
      <c r="H18" s="90">
        <f>H17+I17</f>
        <v>1849004.87</v>
      </c>
      <c r="I18" s="90"/>
      <c r="J18" s="40"/>
      <c r="K18" s="40"/>
      <c r="L18" s="90">
        <f>L17+M17</f>
        <v>53650</v>
      </c>
      <c r="M18" s="90"/>
      <c r="N18" s="35"/>
      <c r="P18" s="90">
        <f>P17+Q17</f>
        <v>0</v>
      </c>
      <c r="Q18" s="90"/>
      <c r="R18" s="90">
        <f>R17+S17</f>
        <v>0</v>
      </c>
      <c r="S18" s="90"/>
      <c r="T18" s="36" t="s">
        <v>7</v>
      </c>
      <c r="U18" s="36"/>
      <c r="V18" s="12">
        <f>E17+G17+H17+O17+P17+R17+T17</f>
        <v>2079004.87</v>
      </c>
    </row>
    <row r="19" spans="2:22" ht="12.75">
      <c r="B19" s="11">
        <v>5316250.37</v>
      </c>
      <c r="C19" s="1"/>
      <c r="D19" s="77"/>
      <c r="H19" s="1">
        <f>E18+H18</f>
        <v>2220504.87</v>
      </c>
      <c r="O19" s="1">
        <f>318685.5+382910</f>
        <v>701595.5</v>
      </c>
      <c r="R19" s="1">
        <f>P18+R18</f>
        <v>0</v>
      </c>
      <c r="T19" s="10" t="s">
        <v>8</v>
      </c>
      <c r="U19" s="10"/>
      <c r="V19" s="11">
        <f>V17-V18</f>
        <v>242570</v>
      </c>
    </row>
    <row r="20" spans="2:20" ht="14.25" customHeight="1">
      <c r="B20" s="6">
        <f>B17-B19</f>
        <v>-2994675.5</v>
      </c>
      <c r="T20" s="1">
        <f>E18+G17+H18+L18+P18+O17+R18+T17</f>
        <v>2274154.87</v>
      </c>
    </row>
    <row r="21" ht="15" customHeight="1"/>
    <row r="22" ht="15" customHeight="1"/>
    <row r="23" ht="14.25" customHeight="1"/>
    <row r="24" ht="15.75" customHeight="1"/>
    <row r="27" ht="11.25" customHeight="1"/>
    <row r="28" ht="12" customHeight="1"/>
    <row r="29" ht="12" customHeight="1"/>
    <row r="30" ht="21.75" customHeight="1"/>
    <row r="31" ht="12" customHeight="1"/>
    <row r="32" ht="9.75" customHeight="1"/>
    <row r="33" ht="10.5" customHeight="1"/>
    <row r="35" ht="10.5" customHeight="1"/>
    <row r="36" ht="9.75" customHeight="1"/>
    <row r="39" ht="10.5" customHeight="1"/>
    <row r="40" ht="11.25" customHeight="1"/>
    <row r="41" ht="12" customHeight="1"/>
    <row r="42" ht="24" customHeight="1"/>
    <row r="46" ht="9.75" customHeight="1"/>
    <row r="47" ht="9.75" customHeight="1"/>
    <row r="48" ht="10.5" customHeight="1"/>
    <row r="49" ht="11.25" customHeight="1"/>
    <row r="51" ht="24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11">
    <mergeCell ref="P2:Q2"/>
    <mergeCell ref="B1:T1"/>
    <mergeCell ref="R2:S2"/>
    <mergeCell ref="R18:S18"/>
    <mergeCell ref="E2:F2"/>
    <mergeCell ref="H2:I2"/>
    <mergeCell ref="E18:F18"/>
    <mergeCell ref="H18:I18"/>
    <mergeCell ref="L18:M18"/>
    <mergeCell ref="P18:Q18"/>
    <mergeCell ref="L2:M2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58" r:id="rId1"/>
  <colBreaks count="1" manualBreakCount="1">
    <brk id="2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6" sqref="I26"/>
    </sheetView>
  </sheetViews>
  <sheetFormatPr defaultColWidth="9.140625" defaultRowHeight="12.75"/>
  <cols>
    <col min="1" max="1" width="9.28125" style="6" bestFit="1" customWidth="1"/>
    <col min="2" max="3" width="13.00390625" style="6" customWidth="1"/>
    <col min="4" max="4" width="12.00390625" style="1" customWidth="1"/>
    <col min="5" max="5" width="11.28125" style="1" customWidth="1"/>
    <col min="6" max="6" width="1.1484375" style="1" hidden="1" customWidth="1"/>
    <col min="7" max="7" width="13.140625" style="1" customWidth="1"/>
    <col min="8" max="8" width="10.00390625" style="1" customWidth="1"/>
    <col min="9" max="9" width="11.140625" style="1" customWidth="1"/>
    <col min="10" max="10" width="12.00390625" style="1" customWidth="1"/>
    <col min="11" max="11" width="11.57421875" style="1" customWidth="1"/>
    <col min="12" max="12" width="5.57421875" style="1" customWidth="1"/>
    <col min="13" max="13" width="10.7109375" style="1" customWidth="1"/>
    <col min="14" max="14" width="13.57421875" style="1" customWidth="1"/>
    <col min="15" max="15" width="14.00390625" style="1" customWidth="1"/>
    <col min="16" max="16" width="11.140625" style="1" customWidth="1"/>
    <col min="17" max="17" width="12.00390625" style="1" customWidth="1"/>
    <col min="18" max="18" width="9.421875" style="1" customWidth="1"/>
    <col min="19" max="19" width="10.28125" style="1" customWidth="1"/>
    <col min="20" max="20" width="10.00390625" style="1" customWidth="1"/>
    <col min="21" max="21" width="13.7109375" style="1" customWidth="1"/>
    <col min="22" max="22" width="14.140625" style="1" customWidth="1"/>
    <col min="23" max="23" width="11.57421875" style="1" customWidth="1"/>
    <col min="24" max="16384" width="9.140625" style="1" customWidth="1"/>
  </cols>
  <sheetData>
    <row r="1" spans="1:22" ht="13.5" thickBot="1">
      <c r="A1" s="5"/>
      <c r="B1" s="94" t="s">
        <v>30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38"/>
      <c r="U1" s="2"/>
      <c r="V1" s="2"/>
    </row>
    <row r="2" spans="1:23" s="9" customFormat="1" ht="25.5">
      <c r="A2" s="30"/>
      <c r="B2" s="49" t="s">
        <v>16</v>
      </c>
      <c r="C2" s="50" t="s">
        <v>6</v>
      </c>
      <c r="D2" s="91" t="s">
        <v>5</v>
      </c>
      <c r="E2" s="92"/>
      <c r="F2" s="3" t="s">
        <v>5</v>
      </c>
      <c r="G2" s="93" t="s">
        <v>0</v>
      </c>
      <c r="H2" s="92"/>
      <c r="I2" s="7" t="s">
        <v>34</v>
      </c>
      <c r="J2" s="41" t="s">
        <v>21</v>
      </c>
      <c r="K2" s="93" t="s">
        <v>1</v>
      </c>
      <c r="L2" s="92"/>
      <c r="M2" s="19" t="s">
        <v>18</v>
      </c>
      <c r="N2" s="3" t="s">
        <v>4</v>
      </c>
      <c r="O2" s="93" t="s">
        <v>2</v>
      </c>
      <c r="P2" s="92"/>
      <c r="Q2" s="93" t="s">
        <v>3</v>
      </c>
      <c r="R2" s="92"/>
      <c r="S2" s="7" t="s">
        <v>25</v>
      </c>
      <c r="T2" s="7" t="s">
        <v>26</v>
      </c>
      <c r="U2" s="3" t="s">
        <v>16</v>
      </c>
      <c r="V2" s="8" t="s">
        <v>6</v>
      </c>
      <c r="W2" s="9" t="s">
        <v>14</v>
      </c>
    </row>
    <row r="3" spans="1:23" ht="19.5" customHeight="1">
      <c r="A3" s="21">
        <v>211</v>
      </c>
      <c r="B3" s="51">
        <f aca="true" t="shared" si="0" ref="B3:B16">U3</f>
        <v>1310213.28</v>
      </c>
      <c r="C3" s="51">
        <f aca="true" t="shared" si="1" ref="C3:C16">V3</f>
        <v>1159737.28</v>
      </c>
      <c r="D3" s="29">
        <v>176650</v>
      </c>
      <c r="E3" s="2">
        <f>14100+94550</f>
        <v>108650</v>
      </c>
      <c r="F3" s="2"/>
      <c r="G3" s="2">
        <f>653387.97+329699.31</f>
        <v>983087.28</v>
      </c>
      <c r="H3" s="2"/>
      <c r="I3" s="2"/>
      <c r="J3" s="2"/>
      <c r="K3" s="2">
        <v>41826</v>
      </c>
      <c r="L3" s="2"/>
      <c r="M3" s="2"/>
      <c r="N3" s="2"/>
      <c r="O3" s="2"/>
      <c r="P3" s="2"/>
      <c r="Q3" s="2"/>
      <c r="R3" s="2"/>
      <c r="S3" s="2"/>
      <c r="T3" s="2"/>
      <c r="U3" s="3">
        <f>D3+E3+F3+G3+H3+K3+L3+N3+O3+P3+Q3+R3+S3+M3+I3+J3+T3</f>
        <v>1310213.28</v>
      </c>
      <c r="V3" s="2">
        <f>D3+F3+G3+N3+O3+Q3+S3+M3+I3+J3+T3</f>
        <v>1159737.28</v>
      </c>
      <c r="W3" s="1">
        <f aca="true" t="shared" si="2" ref="W3:W10">E3+H3+P3+R3</f>
        <v>108650</v>
      </c>
    </row>
    <row r="4" spans="1:23" ht="22.5" customHeight="1">
      <c r="A4" s="21">
        <v>212</v>
      </c>
      <c r="B4" s="51">
        <f t="shared" si="0"/>
        <v>1500</v>
      </c>
      <c r="C4" s="51">
        <f t="shared" si="1"/>
        <v>1500</v>
      </c>
      <c r="D4" s="29"/>
      <c r="E4" s="2"/>
      <c r="F4" s="2"/>
      <c r="G4" s="2">
        <v>1500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>
        <f>D4+E4+F4+G4+H4+K4+L4+N4+O4+P4+Q4+R4+S4+M4+I4+J4+T4</f>
        <v>1500</v>
      </c>
      <c r="V4" s="2">
        <f>D4+F4+G4+N4+O4+Q4+S4+M4+I4+J4+T4</f>
        <v>1500</v>
      </c>
      <c r="W4" s="1">
        <f t="shared" si="2"/>
        <v>0</v>
      </c>
    </row>
    <row r="5" spans="1:23" ht="17.25" customHeight="1">
      <c r="A5" s="21">
        <v>213</v>
      </c>
      <c r="B5" s="51">
        <f t="shared" si="0"/>
        <v>386303.77</v>
      </c>
      <c r="C5" s="51">
        <f t="shared" si="1"/>
        <v>344233.77</v>
      </c>
      <c r="D5" s="29">
        <v>53350</v>
      </c>
      <c r="E5" s="2">
        <f>4300+28550</f>
        <v>32850</v>
      </c>
      <c r="F5" s="2"/>
      <c r="G5" s="2">
        <f>197325+93558.77</f>
        <v>290883.77</v>
      </c>
      <c r="H5" s="2"/>
      <c r="I5" s="2"/>
      <c r="J5" s="2"/>
      <c r="K5" s="2">
        <v>9220</v>
      </c>
      <c r="L5" s="2"/>
      <c r="M5" s="2"/>
      <c r="N5" s="2"/>
      <c r="O5" s="2"/>
      <c r="P5" s="2"/>
      <c r="Q5" s="2"/>
      <c r="R5" s="2"/>
      <c r="S5" s="2"/>
      <c r="T5" s="2"/>
      <c r="U5" s="3">
        <f>D5+E5+F5+G5+H5+K5+L5+N5+O5+P5+Q5+R5+S5+M5+I5+J5+T5</f>
        <v>386303.77</v>
      </c>
      <c r="V5" s="2">
        <f>D5+F5+G5+N5+O5+Q5+S5+M5+I5+J5+T5</f>
        <v>344233.77</v>
      </c>
      <c r="W5" s="1">
        <f t="shared" si="2"/>
        <v>32850</v>
      </c>
    </row>
    <row r="6" spans="1:23" ht="18.75" customHeight="1">
      <c r="A6" s="21">
        <v>221</v>
      </c>
      <c r="B6" s="51">
        <f t="shared" si="0"/>
        <v>55921.24</v>
      </c>
      <c r="C6" s="51">
        <f t="shared" si="1"/>
        <v>55921.24</v>
      </c>
      <c r="D6" s="29"/>
      <c r="E6" s="2"/>
      <c r="F6" s="2"/>
      <c r="G6" s="2">
        <v>55921.24</v>
      </c>
      <c r="H6" s="2"/>
      <c r="I6" s="2"/>
      <c r="J6" s="2"/>
      <c r="K6" s="2"/>
      <c r="L6" s="2"/>
      <c r="M6" s="2"/>
      <c r="N6" s="79"/>
      <c r="O6" s="2"/>
      <c r="P6" s="2"/>
      <c r="Q6" s="2"/>
      <c r="R6" s="2"/>
      <c r="S6" s="2"/>
      <c r="T6" s="2"/>
      <c r="U6" s="3">
        <f>O6+K6+G6</f>
        <v>55921.24</v>
      </c>
      <c r="V6" s="2">
        <f>O6+G6+K6</f>
        <v>55921.24</v>
      </c>
      <c r="W6" s="1">
        <f t="shared" si="2"/>
        <v>0</v>
      </c>
    </row>
    <row r="7" spans="1:23" ht="18.75" customHeight="1">
      <c r="A7" s="21">
        <v>222</v>
      </c>
      <c r="B7" s="51">
        <f t="shared" si="0"/>
        <v>11961.1</v>
      </c>
      <c r="C7" s="51">
        <f t="shared" si="1"/>
        <v>11961.1</v>
      </c>
      <c r="D7" s="29"/>
      <c r="E7" s="2"/>
      <c r="F7" s="2"/>
      <c r="G7" s="2">
        <v>11961.1</v>
      </c>
      <c r="H7" s="2"/>
      <c r="I7" s="2"/>
      <c r="J7" s="2"/>
      <c r="K7" s="2"/>
      <c r="L7" s="2"/>
      <c r="M7" s="2"/>
      <c r="N7" s="79"/>
      <c r="O7" s="2"/>
      <c r="P7" s="2"/>
      <c r="Q7" s="2"/>
      <c r="R7" s="2"/>
      <c r="S7" s="2"/>
      <c r="T7" s="2"/>
      <c r="U7" s="3">
        <f aca="true" t="shared" si="3" ref="U7:U16">D7+E7+F7+G7+H7+K7+L7+N7+O7+P7+Q7+R7+S7+M7+I7+J7+T7</f>
        <v>11961.1</v>
      </c>
      <c r="V7" s="2">
        <f aca="true" t="shared" si="4" ref="V7:V16">D7+F7+G7+N7+O7+Q7+S7+M7+I7+J7+T7</f>
        <v>11961.1</v>
      </c>
      <c r="W7" s="1">
        <f t="shared" si="2"/>
        <v>0</v>
      </c>
    </row>
    <row r="8" spans="1:23" ht="15.75" customHeight="1">
      <c r="A8" s="21">
        <v>223</v>
      </c>
      <c r="B8" s="51">
        <f t="shared" si="0"/>
        <v>7480</v>
      </c>
      <c r="C8" s="51">
        <f t="shared" si="1"/>
        <v>7480</v>
      </c>
      <c r="D8" s="29"/>
      <c r="E8" s="2"/>
      <c r="F8" s="2"/>
      <c r="G8" s="2">
        <v>7480</v>
      </c>
      <c r="H8" s="2"/>
      <c r="I8" s="2"/>
      <c r="J8" s="2"/>
      <c r="K8" s="2"/>
      <c r="L8" s="2"/>
      <c r="M8" s="2"/>
      <c r="N8" s="79"/>
      <c r="O8" s="2"/>
      <c r="P8" s="2"/>
      <c r="Q8" s="2"/>
      <c r="R8" s="2"/>
      <c r="S8" s="2"/>
      <c r="T8" s="2"/>
      <c r="U8" s="3">
        <f t="shared" si="3"/>
        <v>7480</v>
      </c>
      <c r="V8" s="2">
        <f t="shared" si="4"/>
        <v>7480</v>
      </c>
      <c r="W8" s="1">
        <f t="shared" si="2"/>
        <v>0</v>
      </c>
    </row>
    <row r="9" spans="1:23" ht="15.75" customHeight="1">
      <c r="A9" s="21">
        <v>225</v>
      </c>
      <c r="B9" s="51">
        <f t="shared" si="0"/>
        <v>13000</v>
      </c>
      <c r="C9" s="51">
        <f t="shared" si="1"/>
        <v>13000</v>
      </c>
      <c r="D9" s="29"/>
      <c r="E9" s="2"/>
      <c r="F9" s="2"/>
      <c r="G9" s="2">
        <v>13000</v>
      </c>
      <c r="H9" s="2"/>
      <c r="I9" s="2"/>
      <c r="J9" s="2"/>
      <c r="K9" s="2"/>
      <c r="L9" s="2"/>
      <c r="M9" s="2"/>
      <c r="N9" s="79"/>
      <c r="O9" s="2"/>
      <c r="P9" s="2"/>
      <c r="Q9" s="2"/>
      <c r="R9" s="2"/>
      <c r="S9" s="2"/>
      <c r="T9" s="2"/>
      <c r="U9" s="3">
        <f t="shared" si="3"/>
        <v>13000</v>
      </c>
      <c r="V9" s="2">
        <f t="shared" si="4"/>
        <v>13000</v>
      </c>
      <c r="W9" s="1">
        <f t="shared" si="2"/>
        <v>0</v>
      </c>
    </row>
    <row r="10" spans="1:23" ht="18" customHeight="1">
      <c r="A10" s="21">
        <v>226</v>
      </c>
      <c r="B10" s="51">
        <f t="shared" si="0"/>
        <v>114517.38</v>
      </c>
      <c r="C10" s="51">
        <f t="shared" si="1"/>
        <v>114517.38</v>
      </c>
      <c r="D10" s="29"/>
      <c r="E10" s="2"/>
      <c r="F10" s="2"/>
      <c r="G10" s="2">
        <v>91517.38</v>
      </c>
      <c r="H10" s="2"/>
      <c r="I10" s="2">
        <v>23000</v>
      </c>
      <c r="J10" s="2"/>
      <c r="K10" s="2"/>
      <c r="L10" s="2"/>
      <c r="M10" s="2"/>
      <c r="N10" s="79"/>
      <c r="O10" s="2"/>
      <c r="P10" s="2"/>
      <c r="Q10" s="2"/>
      <c r="R10" s="2"/>
      <c r="S10" s="2"/>
      <c r="T10" s="2"/>
      <c r="U10" s="3">
        <f t="shared" si="3"/>
        <v>114517.38</v>
      </c>
      <c r="V10" s="2">
        <f t="shared" si="4"/>
        <v>114517.38</v>
      </c>
      <c r="W10" s="1">
        <f t="shared" si="2"/>
        <v>0</v>
      </c>
    </row>
    <row r="11" spans="1:22" ht="18" customHeight="1">
      <c r="A11" s="21">
        <v>241</v>
      </c>
      <c r="B11" s="51">
        <f t="shared" si="0"/>
        <v>0</v>
      </c>
      <c r="C11" s="51">
        <f t="shared" si="1"/>
        <v>0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79"/>
      <c r="O11" s="2"/>
      <c r="P11" s="2"/>
      <c r="Q11" s="2"/>
      <c r="R11" s="2"/>
      <c r="S11" s="2"/>
      <c r="T11" s="2"/>
      <c r="U11" s="3">
        <f t="shared" si="3"/>
        <v>0</v>
      </c>
      <c r="V11" s="2">
        <f t="shared" si="4"/>
        <v>0</v>
      </c>
    </row>
    <row r="12" spans="1:23" ht="18" customHeight="1">
      <c r="A12" s="21">
        <v>251</v>
      </c>
      <c r="B12" s="51">
        <f t="shared" si="0"/>
        <v>21220</v>
      </c>
      <c r="C12" s="51">
        <f t="shared" si="1"/>
        <v>21220</v>
      </c>
      <c r="D12" s="29"/>
      <c r="E12" s="2"/>
      <c r="F12" s="2"/>
      <c r="G12" s="2"/>
      <c r="H12" s="2"/>
      <c r="I12" s="2">
        <v>21220</v>
      </c>
      <c r="J12" s="2"/>
      <c r="K12" s="2"/>
      <c r="L12" s="2"/>
      <c r="M12" s="2"/>
      <c r="N12" s="79"/>
      <c r="O12" s="2"/>
      <c r="P12" s="2"/>
      <c r="Q12" s="2"/>
      <c r="R12" s="2"/>
      <c r="S12" s="2"/>
      <c r="T12" s="2"/>
      <c r="U12" s="3">
        <f t="shared" si="3"/>
        <v>21220</v>
      </c>
      <c r="V12" s="2">
        <f t="shared" si="4"/>
        <v>21220</v>
      </c>
      <c r="W12" s="1">
        <f>E12+H12+P12+R12</f>
        <v>0</v>
      </c>
    </row>
    <row r="13" spans="1:23" ht="15.75" customHeight="1">
      <c r="A13" s="21">
        <v>263</v>
      </c>
      <c r="B13" s="51">
        <f t="shared" si="0"/>
        <v>0</v>
      </c>
      <c r="C13" s="51">
        <f t="shared" si="1"/>
        <v>0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79"/>
      <c r="O13" s="2"/>
      <c r="P13" s="2"/>
      <c r="Q13" s="2"/>
      <c r="R13" s="2"/>
      <c r="S13" s="2"/>
      <c r="T13" s="2"/>
      <c r="U13" s="3">
        <f t="shared" si="3"/>
        <v>0</v>
      </c>
      <c r="V13" s="2">
        <f t="shared" si="4"/>
        <v>0</v>
      </c>
      <c r="W13" s="1">
        <f>E13+H13+P13+R13</f>
        <v>0</v>
      </c>
    </row>
    <row r="14" spans="1:23" ht="26.25" customHeight="1">
      <c r="A14" s="21">
        <v>290</v>
      </c>
      <c r="B14" s="51">
        <f t="shared" si="0"/>
        <v>0</v>
      </c>
      <c r="C14" s="51">
        <f t="shared" si="1"/>
        <v>0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79"/>
      <c r="O14" s="2"/>
      <c r="P14" s="2"/>
      <c r="Q14" s="2"/>
      <c r="R14" s="2"/>
      <c r="S14" s="2"/>
      <c r="T14" s="2"/>
      <c r="U14" s="3">
        <f t="shared" si="3"/>
        <v>0</v>
      </c>
      <c r="V14" s="2">
        <f t="shared" si="4"/>
        <v>0</v>
      </c>
      <c r="W14" s="1">
        <f>E14+H14+P14+R14</f>
        <v>0</v>
      </c>
    </row>
    <row r="15" spans="1:23" ht="18.75" customHeight="1">
      <c r="A15" s="21">
        <v>310</v>
      </c>
      <c r="B15" s="51">
        <f t="shared" si="0"/>
        <v>169500</v>
      </c>
      <c r="C15" s="51">
        <f t="shared" si="1"/>
        <v>169500</v>
      </c>
      <c r="D15" s="29"/>
      <c r="E15" s="2"/>
      <c r="F15" s="2"/>
      <c r="G15" s="2">
        <f>99500+70000</f>
        <v>169500</v>
      </c>
      <c r="H15" s="2"/>
      <c r="I15" s="2"/>
      <c r="J15" s="2"/>
      <c r="K15" s="2"/>
      <c r="L15" s="2"/>
      <c r="M15" s="2"/>
      <c r="N15" s="79"/>
      <c r="O15" s="2"/>
      <c r="P15" s="2"/>
      <c r="Q15" s="2"/>
      <c r="R15" s="2"/>
      <c r="S15" s="2"/>
      <c r="T15" s="2"/>
      <c r="U15" s="3">
        <f t="shared" si="3"/>
        <v>169500</v>
      </c>
      <c r="V15" s="2">
        <f t="shared" si="4"/>
        <v>169500</v>
      </c>
      <c r="W15" s="1">
        <f>E15+H15+P15+R15+M15</f>
        <v>0</v>
      </c>
    </row>
    <row r="16" spans="1:23" ht="21" customHeight="1">
      <c r="A16" s="21">
        <v>340</v>
      </c>
      <c r="B16" s="51">
        <f t="shared" si="0"/>
        <v>168252.8</v>
      </c>
      <c r="C16" s="51">
        <f t="shared" si="1"/>
        <v>165648.8</v>
      </c>
      <c r="D16" s="29"/>
      <c r="E16" s="2"/>
      <c r="F16" s="2"/>
      <c r="G16" s="2">
        <v>162448.8</v>
      </c>
      <c r="H16" s="2"/>
      <c r="I16" s="2"/>
      <c r="J16" s="2">
        <v>3200</v>
      </c>
      <c r="K16" s="2">
        <v>2604</v>
      </c>
      <c r="L16" s="2"/>
      <c r="M16" s="2"/>
      <c r="N16" s="79"/>
      <c r="O16" s="2"/>
      <c r="P16" s="2"/>
      <c r="Q16" s="2"/>
      <c r="R16" s="2"/>
      <c r="S16" s="2"/>
      <c r="T16" s="2"/>
      <c r="U16" s="3">
        <f t="shared" si="3"/>
        <v>168252.8</v>
      </c>
      <c r="V16" s="2">
        <f t="shared" si="4"/>
        <v>165648.8</v>
      </c>
      <c r="W16" s="1">
        <f>E16+H16+P16+R16</f>
        <v>0</v>
      </c>
    </row>
    <row r="17" spans="1:23" ht="15" customHeight="1">
      <c r="A17" s="21"/>
      <c r="B17" s="52">
        <f aca="true" t="shared" si="5" ref="B17:W17">SUM(B3:B16)</f>
        <v>2259869.57</v>
      </c>
      <c r="C17" s="52">
        <f t="shared" si="5"/>
        <v>2064719.57</v>
      </c>
      <c r="D17" s="31">
        <f t="shared" si="5"/>
        <v>230000</v>
      </c>
      <c r="E17" s="4">
        <f t="shared" si="5"/>
        <v>141500</v>
      </c>
      <c r="F17" s="4">
        <f t="shared" si="5"/>
        <v>0</v>
      </c>
      <c r="G17" s="4">
        <f t="shared" si="5"/>
        <v>1787299.57</v>
      </c>
      <c r="H17" s="4">
        <f t="shared" si="5"/>
        <v>0</v>
      </c>
      <c r="I17" s="4">
        <f t="shared" si="5"/>
        <v>44220</v>
      </c>
      <c r="J17" s="4">
        <f t="shared" si="5"/>
        <v>3200</v>
      </c>
      <c r="K17" s="4">
        <f t="shared" si="5"/>
        <v>53650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4">
        <f t="shared" si="5"/>
        <v>0</v>
      </c>
      <c r="P17" s="4">
        <f t="shared" si="5"/>
        <v>0</v>
      </c>
      <c r="Q17" s="4">
        <f t="shared" si="5"/>
        <v>0</v>
      </c>
      <c r="R17" s="3">
        <f t="shared" si="5"/>
        <v>0</v>
      </c>
      <c r="S17" s="4">
        <f t="shared" si="5"/>
        <v>0</v>
      </c>
      <c r="T17" s="4">
        <f t="shared" si="5"/>
        <v>0</v>
      </c>
      <c r="U17" s="4">
        <f t="shared" si="5"/>
        <v>2259869.57</v>
      </c>
      <c r="V17" s="4">
        <f t="shared" si="5"/>
        <v>2064719.57</v>
      </c>
      <c r="W17" s="4">
        <f t="shared" si="5"/>
        <v>141500</v>
      </c>
    </row>
    <row r="18" spans="2:23" ht="13.5" customHeight="1">
      <c r="B18" s="11">
        <v>5120658.3</v>
      </c>
      <c r="C18" s="1"/>
      <c r="D18" s="97">
        <f>D17+E17</f>
        <v>371500</v>
      </c>
      <c r="E18" s="97"/>
      <c r="F18" s="1">
        <f>F19*26.2%</f>
        <v>0</v>
      </c>
      <c r="G18" s="97">
        <f>G17+H17</f>
        <v>1787299.57</v>
      </c>
      <c r="H18" s="97"/>
      <c r="I18" s="39"/>
      <c r="J18" s="39"/>
      <c r="K18" s="97">
        <f>K17+L17</f>
        <v>53650</v>
      </c>
      <c r="L18" s="97"/>
      <c r="M18" s="20"/>
      <c r="N18" s="1">
        <f>39000+290529.5+775268.79</f>
        <v>1104798.29</v>
      </c>
      <c r="O18" s="97">
        <f>O17+P17</f>
        <v>0</v>
      </c>
      <c r="P18" s="97"/>
      <c r="Q18" s="97">
        <f>Q17+R17</f>
        <v>0</v>
      </c>
      <c r="R18" s="97"/>
      <c r="S18" s="10" t="s">
        <v>7</v>
      </c>
      <c r="T18" s="10"/>
      <c r="U18" s="11">
        <f>D17+F17+G17+N17+O17+Q17+S17+M17+I17+J17</f>
        <v>2064719.57</v>
      </c>
      <c r="W18" s="12">
        <f>K17</f>
        <v>53650</v>
      </c>
    </row>
    <row r="19" spans="2:23" ht="12.75">
      <c r="B19" s="11">
        <f>B17-B18</f>
        <v>-2860788.73</v>
      </c>
      <c r="C19" s="1"/>
      <c r="S19" s="10" t="s">
        <v>8</v>
      </c>
      <c r="T19" s="10"/>
      <c r="U19" s="11">
        <f>U17-U18</f>
        <v>195149.99999999977</v>
      </c>
      <c r="W19" s="12">
        <f>W17+W18</f>
        <v>195150</v>
      </c>
    </row>
    <row r="20" spans="2:19" ht="14.25" customHeight="1">
      <c r="B20" s="1"/>
      <c r="C20" s="1"/>
      <c r="S20" s="48"/>
    </row>
    <row r="21" spans="2:22" ht="15" customHeight="1">
      <c r="B21" s="1"/>
      <c r="C21" s="1" t="s">
        <v>15</v>
      </c>
      <c r="V21" s="1" t="s">
        <v>15</v>
      </c>
    </row>
    <row r="22" spans="2:3" ht="15" customHeight="1">
      <c r="B22" s="1"/>
      <c r="C22" s="1"/>
    </row>
    <row r="23" spans="2:3" ht="14.25" customHeight="1">
      <c r="B23" s="1"/>
      <c r="C23" s="1"/>
    </row>
    <row r="24" spans="2:3" ht="15.75" customHeight="1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1.25" customHeight="1">
      <c r="B27" s="1"/>
      <c r="C27" s="1"/>
    </row>
    <row r="28" spans="2:3" ht="12" customHeight="1">
      <c r="B28" s="1"/>
      <c r="C28" s="1"/>
    </row>
    <row r="29" spans="2:3" ht="12" customHeight="1">
      <c r="B29" s="1"/>
      <c r="C29" s="1"/>
    </row>
    <row r="30" spans="2:3" ht="21.75" customHeight="1">
      <c r="B30" s="1"/>
      <c r="C30" s="1"/>
    </row>
    <row r="31" spans="2:3" ht="12" customHeight="1">
      <c r="B31" s="1"/>
      <c r="C31" s="1"/>
    </row>
    <row r="32" spans="2:3" ht="9.75" customHeight="1">
      <c r="B32" s="1"/>
      <c r="C32" s="1"/>
    </row>
    <row r="33" spans="2:3" ht="10.5" customHeight="1">
      <c r="B33" s="1"/>
      <c r="C33" s="1"/>
    </row>
    <row r="34" spans="2:3" ht="12.75">
      <c r="B34" s="1"/>
      <c r="C34" s="1"/>
    </row>
    <row r="35" spans="2:3" ht="10.5" customHeight="1">
      <c r="B35" s="1"/>
      <c r="C35" s="1"/>
    </row>
    <row r="36" spans="2:3" ht="9.75" customHeight="1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0.5" customHeight="1">
      <c r="B39" s="1"/>
      <c r="C39" s="1"/>
    </row>
    <row r="40" spans="2:3" ht="11.25" customHeight="1">
      <c r="B40" s="1"/>
      <c r="C40" s="1"/>
    </row>
    <row r="41" spans="2:3" ht="12" customHeight="1">
      <c r="B41" s="1"/>
      <c r="C41" s="1"/>
    </row>
    <row r="42" spans="2:3" ht="24" customHeight="1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9.75" customHeight="1">
      <c r="B46" s="1"/>
      <c r="C46" s="1"/>
    </row>
    <row r="47" spans="2:3" ht="9.75" customHeight="1">
      <c r="B47" s="1"/>
      <c r="C47" s="1"/>
    </row>
    <row r="48" spans="2:3" ht="10.5" customHeight="1">
      <c r="B48" s="1"/>
      <c r="C48" s="1"/>
    </row>
    <row r="49" spans="2:3" ht="11.25" customHeight="1">
      <c r="B49" s="1"/>
      <c r="C49" s="1"/>
    </row>
    <row r="50" spans="2:3" ht="12.75">
      <c r="B50" s="1"/>
      <c r="C50" s="1"/>
    </row>
    <row r="51" spans="2:3" ht="24" customHeight="1">
      <c r="B51" s="1"/>
      <c r="C51" s="1"/>
    </row>
    <row r="52" spans="2:3" ht="12.75">
      <c r="B52" s="1"/>
      <c r="C52" s="1"/>
    </row>
    <row r="53" spans="2:3" ht="12" customHeight="1">
      <c r="B53" s="1"/>
      <c r="C53" s="1"/>
    </row>
    <row r="54" spans="2:3" ht="12" customHeight="1">
      <c r="B54" s="1"/>
      <c r="C54" s="1"/>
    </row>
    <row r="55" spans="2:3" ht="12" customHeight="1">
      <c r="B55" s="1"/>
      <c r="C55" s="1"/>
    </row>
    <row r="56" spans="2:3" ht="12" customHeight="1">
      <c r="B56" s="1"/>
      <c r="C56" s="1"/>
    </row>
    <row r="57" spans="2:3" ht="12" customHeight="1">
      <c r="B57" s="1"/>
      <c r="C57" s="1"/>
    </row>
  </sheetData>
  <sheetProtection/>
  <mergeCells count="11">
    <mergeCell ref="O2:P2"/>
    <mergeCell ref="B1:S1"/>
    <mergeCell ref="Q2:R2"/>
    <mergeCell ref="Q18:R18"/>
    <mergeCell ref="D2:E2"/>
    <mergeCell ref="G2:H2"/>
    <mergeCell ref="D18:E18"/>
    <mergeCell ref="G18:H18"/>
    <mergeCell ref="K18:L18"/>
    <mergeCell ref="O18:P18"/>
    <mergeCell ref="K2:L2"/>
  </mergeCells>
  <conditionalFormatting sqref="W3:W16">
    <cfRule type="cellIs" priority="1" dxfId="1" operator="equal" stopIfTrue="1">
      <formula>0</formula>
    </cfRule>
  </conditionalFormatting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2013-01-13T10:18:46Z</cp:lastPrinted>
  <dcterms:created xsi:type="dcterms:W3CDTF">1996-10-08T23:32:33Z</dcterms:created>
  <dcterms:modified xsi:type="dcterms:W3CDTF">2013-03-27T02:11:53Z</dcterms:modified>
  <cp:category/>
  <cp:version/>
  <cp:contentType/>
  <cp:contentStatus/>
</cp:coreProperties>
</file>